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D:\Letter_June_2020\"/>
    </mc:Choice>
  </mc:AlternateContent>
  <xr:revisionPtr revIDLastSave="0" documentId="13_ncr:1_{CEAADB17-9F85-4811-88FF-7EAA08B099FE}" xr6:coauthVersionLast="45" xr6:coauthVersionMax="45" xr10:uidLastSave="{00000000-0000-0000-0000-000000000000}"/>
  <bookViews>
    <workbookView xWindow="-120" yWindow="-120" windowWidth="29040" windowHeight="15840" firstSheet="1" activeTab="4" xr2:uid="{00000000-000D-0000-FFFF-FFFF00000000}"/>
  </bookViews>
  <sheets>
    <sheet name="WP_to_Sep_21_Combine_All_Budget" sheetId="1" r:id="rId1"/>
    <sheet name="WB_NRGI_FT_Nat-Comine_Budget" sheetId="5" r:id="rId2"/>
    <sheet name="MDTF_Balance_Workplan 29-5-20" sheetId="9" r:id="rId3"/>
    <sheet name="Proposed_Revised(2-6-20WPG)" sheetId="10" r:id="rId4"/>
    <sheet name="Budget_Category" sheetId="8" r:id="rId5"/>
  </sheets>
  <definedNames>
    <definedName name="_xlnm.Print_Area" localSheetId="1">'WB_NRGI_FT_Nat-Comine_Budget'!$A$4:$G$94</definedName>
    <definedName name="_xlnm.Print_Area" localSheetId="0">WP_to_Sep_21_Combine_All_Budget!$A$4:$AS$68</definedName>
    <definedName name="_xlnm.Print_Titles" localSheetId="1">'WB_NRGI_FT_Nat-Comine_Budget'!$4:$5</definedName>
  </definedName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I68" i="1" l="1"/>
  <c r="AB75" i="1"/>
  <c r="AB76" i="1"/>
  <c r="AI64" i="1"/>
  <c r="AI63" i="1"/>
  <c r="AI62" i="1"/>
  <c r="AS12" i="10"/>
  <c r="AQ12" i="10"/>
  <c r="AQ22" i="10"/>
  <c r="AQ21" i="10"/>
  <c r="AQ20" i="10"/>
  <c r="AQ7" i="10"/>
  <c r="S7" i="10"/>
  <c r="S8" i="10"/>
  <c r="S9" i="10"/>
  <c r="S10" i="10"/>
  <c r="S11" i="10"/>
  <c r="Q12" i="10"/>
  <c r="S12" i="10"/>
  <c r="S13" i="10"/>
  <c r="S14" i="10"/>
  <c r="S15" i="10"/>
  <c r="S16" i="10"/>
  <c r="S17" i="10"/>
  <c r="Q20" i="10"/>
  <c r="S20" i="10"/>
  <c r="Q21" i="10"/>
  <c r="S21" i="10"/>
  <c r="Q22" i="10"/>
  <c r="S22" i="10"/>
  <c r="S23" i="10"/>
  <c r="S24" i="10"/>
  <c r="S25" i="10"/>
  <c r="S26" i="10"/>
  <c r="Q27" i="10"/>
  <c r="S27" i="10"/>
  <c r="S28" i="10"/>
  <c r="S29" i="10"/>
  <c r="S30" i="10"/>
  <c r="Q31" i="10"/>
  <c r="S31" i="10"/>
  <c r="S32" i="10"/>
  <c r="S34" i="10"/>
  <c r="S35" i="10"/>
  <c r="S36" i="10"/>
  <c r="S37" i="10"/>
  <c r="S38" i="10"/>
  <c r="S39" i="10"/>
  <c r="S40" i="10"/>
  <c r="S41" i="10"/>
  <c r="S43" i="10"/>
  <c r="S44" i="10"/>
  <c r="S45" i="10"/>
  <c r="S46" i="10"/>
  <c r="S49" i="10"/>
  <c r="S50" i="10"/>
  <c r="S51" i="10"/>
  <c r="S52" i="10"/>
  <c r="S53" i="10"/>
  <c r="S54" i="10"/>
  <c r="S55" i="10"/>
  <c r="S56" i="10"/>
  <c r="Q57" i="10"/>
  <c r="S57" i="10"/>
  <c r="S58" i="10"/>
  <c r="S59" i="10"/>
  <c r="S60" i="10"/>
  <c r="S61" i="10"/>
  <c r="S62" i="10"/>
  <c r="Q63" i="10"/>
  <c r="S63" i="10"/>
  <c r="Q64" i="10"/>
  <c r="S64" i="10"/>
  <c r="S65" i="10"/>
  <c r="S66" i="10"/>
  <c r="S67" i="10"/>
  <c r="S68" i="10"/>
  <c r="S69" i="10"/>
  <c r="S70" i="10"/>
  <c r="S71" i="10"/>
  <c r="S72" i="10"/>
  <c r="Q73" i="10"/>
  <c r="S73" i="10"/>
  <c r="S74" i="10"/>
  <c r="S75" i="10"/>
  <c r="S76" i="10"/>
  <c r="S77" i="10"/>
  <c r="S78" i="10"/>
  <c r="S80" i="10"/>
  <c r="S81" i="10"/>
  <c r="S82" i="10"/>
  <c r="S83" i="10"/>
  <c r="Q84" i="10"/>
  <c r="S84" i="10"/>
  <c r="S85" i="10"/>
  <c r="S86" i="10"/>
  <c r="S87" i="10"/>
  <c r="S88" i="10"/>
  <c r="W7" i="10"/>
  <c r="W8" i="10"/>
  <c r="W9" i="10"/>
  <c r="W10" i="10"/>
  <c r="W11" i="10"/>
  <c r="W12" i="10"/>
  <c r="W13" i="10"/>
  <c r="W14" i="10"/>
  <c r="W15" i="10"/>
  <c r="W16" i="10"/>
  <c r="W17" i="10"/>
  <c r="W20" i="10"/>
  <c r="W21" i="10"/>
  <c r="W22" i="10"/>
  <c r="W23" i="10"/>
  <c r="W24" i="10"/>
  <c r="W25" i="10"/>
  <c r="W26" i="10"/>
  <c r="W27" i="10"/>
  <c r="W28" i="10"/>
  <c r="W29" i="10"/>
  <c r="W30" i="10"/>
  <c r="W31" i="10"/>
  <c r="W32" i="10"/>
  <c r="W34" i="10"/>
  <c r="W35" i="10"/>
  <c r="W36" i="10"/>
  <c r="W37" i="10"/>
  <c r="W38" i="10"/>
  <c r="W39" i="10"/>
  <c r="W40" i="10"/>
  <c r="W41" i="10"/>
  <c r="W43" i="10"/>
  <c r="W44" i="10"/>
  <c r="W45" i="10"/>
  <c r="W46" i="10"/>
  <c r="W49" i="10"/>
  <c r="W50" i="10"/>
  <c r="W51" i="10"/>
  <c r="W52" i="10"/>
  <c r="W53" i="10"/>
  <c r="W54" i="10"/>
  <c r="W55" i="10"/>
  <c r="W56" i="10"/>
  <c r="W57" i="10"/>
  <c r="W58" i="10"/>
  <c r="W59" i="10"/>
  <c r="W60" i="10"/>
  <c r="W61" i="10"/>
  <c r="W62" i="10"/>
  <c r="W63" i="10"/>
  <c r="W64" i="10"/>
  <c r="W65" i="10"/>
  <c r="W66" i="10"/>
  <c r="W67" i="10"/>
  <c r="W68" i="10"/>
  <c r="W69" i="10"/>
  <c r="W70" i="10"/>
  <c r="W71" i="10"/>
  <c r="W72" i="10"/>
  <c r="W73" i="10"/>
  <c r="W74" i="10"/>
  <c r="W75" i="10"/>
  <c r="W76" i="10"/>
  <c r="W77" i="10"/>
  <c r="W78" i="10"/>
  <c r="W80" i="10"/>
  <c r="W81" i="10"/>
  <c r="W82" i="10"/>
  <c r="W83" i="10"/>
  <c r="W84" i="10"/>
  <c r="W85" i="10"/>
  <c r="W86" i="10"/>
  <c r="W87" i="10"/>
  <c r="W88" i="10"/>
  <c r="AB7" i="10"/>
  <c r="AB8" i="10"/>
  <c r="AB9" i="10"/>
  <c r="AB10" i="10"/>
  <c r="AB11" i="10"/>
  <c r="AA12" i="10"/>
  <c r="AB12" i="10"/>
  <c r="AB13" i="10"/>
  <c r="AB14" i="10"/>
  <c r="AB15" i="10"/>
  <c r="X16" i="10"/>
  <c r="Y16" i="10"/>
  <c r="AB16" i="10"/>
  <c r="AB17" i="10"/>
  <c r="AA20" i="10"/>
  <c r="AB20" i="10"/>
  <c r="AA21" i="10"/>
  <c r="AB21" i="10"/>
  <c r="AA22" i="10"/>
  <c r="AB22" i="10"/>
  <c r="AB23" i="10"/>
  <c r="AB24" i="10"/>
  <c r="AB25" i="10"/>
  <c r="AB26" i="10"/>
  <c r="AA27" i="10"/>
  <c r="AB27" i="10"/>
  <c r="AA28" i="10"/>
  <c r="AB28" i="10"/>
  <c r="AB29" i="10"/>
  <c r="AB30" i="10"/>
  <c r="AB31" i="10"/>
  <c r="AB32" i="10"/>
  <c r="AB34" i="10"/>
  <c r="AB35" i="10"/>
  <c r="AB36" i="10"/>
  <c r="AB37" i="10"/>
  <c r="AB38" i="10"/>
  <c r="AB39" i="10"/>
  <c r="AB40" i="10"/>
  <c r="AB41" i="10"/>
  <c r="AB43" i="10"/>
  <c r="AB44" i="10"/>
  <c r="AB45" i="10"/>
  <c r="AB46" i="10"/>
  <c r="AB49" i="10"/>
  <c r="AB50" i="10"/>
  <c r="AB51" i="10"/>
  <c r="AB52" i="10"/>
  <c r="AB53" i="10"/>
  <c r="AB54" i="10"/>
  <c r="AB55" i="10"/>
  <c r="AB56" i="10"/>
  <c r="AB57" i="10"/>
  <c r="AB58" i="10"/>
  <c r="AB59" i="10"/>
  <c r="AB60" i="10"/>
  <c r="AB61" i="10"/>
  <c r="AB62" i="10"/>
  <c r="AB63" i="10"/>
  <c r="AB64" i="10"/>
  <c r="AB65" i="10"/>
  <c r="AB66" i="10"/>
  <c r="AB67" i="10"/>
  <c r="AB68" i="10"/>
  <c r="AB69" i="10"/>
  <c r="AB70" i="10"/>
  <c r="AB71" i="10"/>
  <c r="AB72" i="10"/>
  <c r="AA73" i="10"/>
  <c r="AB73" i="10"/>
  <c r="AB74" i="10"/>
  <c r="AB75" i="10"/>
  <c r="AB76" i="10"/>
  <c r="AB77" i="10"/>
  <c r="AB78" i="10"/>
  <c r="AB80" i="10"/>
  <c r="AB81" i="10"/>
  <c r="AB82" i="10"/>
  <c r="AB83" i="10"/>
  <c r="AB84" i="10"/>
  <c r="AB85" i="10"/>
  <c r="AB86" i="10"/>
  <c r="AB87" i="10"/>
  <c r="AB88" i="10"/>
  <c r="AC17" i="10"/>
  <c r="AC20" i="10"/>
  <c r="AC21" i="10"/>
  <c r="AC22" i="10"/>
  <c r="AC32" i="10"/>
  <c r="AC41" i="10"/>
  <c r="AC45" i="10"/>
  <c r="AC46" i="10"/>
  <c r="AC78" i="10"/>
  <c r="AC86" i="10"/>
  <c r="AC87" i="10"/>
  <c r="AC88" i="10"/>
  <c r="AD17" i="10"/>
  <c r="AD20" i="10"/>
  <c r="AD21" i="10"/>
  <c r="AD22" i="10"/>
  <c r="AD32" i="10"/>
  <c r="AD41" i="10"/>
  <c r="AD45" i="10"/>
  <c r="AD46" i="10"/>
  <c r="AD78" i="10"/>
  <c r="AD86" i="10"/>
  <c r="AD87" i="10"/>
  <c r="AD88" i="10"/>
  <c r="S91" i="10"/>
  <c r="N7" i="10"/>
  <c r="X7" i="10"/>
  <c r="AF7" i="10"/>
  <c r="N8" i="10"/>
  <c r="X8" i="10"/>
  <c r="AF8" i="10"/>
  <c r="N9" i="10"/>
  <c r="X9" i="10"/>
  <c r="AF9" i="10"/>
  <c r="N10" i="10"/>
  <c r="X10" i="10"/>
  <c r="AF10" i="10"/>
  <c r="N11" i="10"/>
  <c r="X11" i="10"/>
  <c r="AF11" i="10"/>
  <c r="N12" i="10"/>
  <c r="X12" i="10"/>
  <c r="AF12" i="10"/>
  <c r="N13" i="10"/>
  <c r="X13" i="10"/>
  <c r="AF13" i="10"/>
  <c r="N14" i="10"/>
  <c r="X14" i="10"/>
  <c r="AF14" i="10"/>
  <c r="N15" i="10"/>
  <c r="X15" i="10"/>
  <c r="AF15" i="10"/>
  <c r="N16" i="10"/>
  <c r="AF16" i="10"/>
  <c r="AF17" i="10"/>
  <c r="N20" i="10"/>
  <c r="X20" i="10"/>
  <c r="AF20" i="10"/>
  <c r="N21" i="10"/>
  <c r="X21" i="10"/>
  <c r="AF21" i="10"/>
  <c r="N22" i="10"/>
  <c r="X22" i="10"/>
  <c r="AF22" i="10"/>
  <c r="N23" i="10"/>
  <c r="X23" i="10"/>
  <c r="AF23" i="10"/>
  <c r="N24" i="10"/>
  <c r="X24" i="10"/>
  <c r="AF24" i="10"/>
  <c r="N25" i="10"/>
  <c r="X25" i="10"/>
  <c r="AF25" i="10"/>
  <c r="X26" i="10"/>
  <c r="AF26" i="10"/>
  <c r="N27" i="10"/>
  <c r="X27" i="10"/>
  <c r="AF27" i="10"/>
  <c r="N28" i="10"/>
  <c r="X28" i="10"/>
  <c r="AF28" i="10"/>
  <c r="X29" i="10"/>
  <c r="AF29" i="10"/>
  <c r="X30" i="10"/>
  <c r="AF30" i="10"/>
  <c r="N31" i="10"/>
  <c r="X31" i="10"/>
  <c r="AF31" i="10"/>
  <c r="AF32" i="10"/>
  <c r="N34" i="10"/>
  <c r="X34" i="10"/>
  <c r="AF34" i="10"/>
  <c r="N35" i="10"/>
  <c r="X35" i="10"/>
  <c r="AF35" i="10"/>
  <c r="N36" i="10"/>
  <c r="X36" i="10"/>
  <c r="AF36" i="10"/>
  <c r="X37" i="10"/>
  <c r="AF37" i="10"/>
  <c r="N38" i="10"/>
  <c r="X38" i="10"/>
  <c r="AF38" i="10"/>
  <c r="N39" i="10"/>
  <c r="X39" i="10"/>
  <c r="AF39" i="10"/>
  <c r="N40" i="10"/>
  <c r="X40" i="10"/>
  <c r="AF40" i="10"/>
  <c r="AF41" i="10"/>
  <c r="N43" i="10"/>
  <c r="X43" i="10"/>
  <c r="AF43" i="10"/>
  <c r="N44" i="10"/>
  <c r="X44" i="10"/>
  <c r="AF44" i="10"/>
  <c r="AF45" i="10"/>
  <c r="AF46" i="10"/>
  <c r="N49" i="10"/>
  <c r="X49" i="10"/>
  <c r="AF49" i="10"/>
  <c r="N50" i="10"/>
  <c r="X50" i="10"/>
  <c r="AF50" i="10"/>
  <c r="N51" i="10"/>
  <c r="X51" i="10"/>
  <c r="AF51" i="10"/>
  <c r="N52" i="10"/>
  <c r="X52" i="10"/>
  <c r="AF52" i="10"/>
  <c r="X53" i="10"/>
  <c r="AF53" i="10"/>
  <c r="X54" i="10"/>
  <c r="AF54" i="10"/>
  <c r="N55" i="10"/>
  <c r="X55" i="10"/>
  <c r="AF55" i="10"/>
  <c r="X56" i="10"/>
  <c r="AF56" i="10"/>
  <c r="N57" i="10"/>
  <c r="X57" i="10"/>
  <c r="AF57" i="10"/>
  <c r="X58" i="10"/>
  <c r="AF58" i="10"/>
  <c r="N59" i="10"/>
  <c r="X59" i="10"/>
  <c r="AF59" i="10"/>
  <c r="N60" i="10"/>
  <c r="X60" i="10"/>
  <c r="AF60" i="10"/>
  <c r="N61" i="10"/>
  <c r="X61" i="10"/>
  <c r="AF61" i="10"/>
  <c r="N62" i="10"/>
  <c r="X62" i="10"/>
  <c r="AF62" i="10"/>
  <c r="N63" i="10"/>
  <c r="X63" i="10"/>
  <c r="AF63" i="10"/>
  <c r="N64" i="10"/>
  <c r="X64" i="10"/>
  <c r="AF64" i="10"/>
  <c r="N65" i="10"/>
  <c r="X65" i="10"/>
  <c r="AF65" i="10"/>
  <c r="N66" i="10"/>
  <c r="X66" i="10"/>
  <c r="AF66" i="10"/>
  <c r="N67" i="10"/>
  <c r="X67" i="10"/>
  <c r="AF67" i="10"/>
  <c r="N68" i="10"/>
  <c r="X68" i="10"/>
  <c r="AF68" i="10"/>
  <c r="N69" i="10"/>
  <c r="X69" i="10"/>
  <c r="AF69" i="10"/>
  <c r="N70" i="10"/>
  <c r="X70" i="10"/>
  <c r="AF70" i="10"/>
  <c r="N71" i="10"/>
  <c r="X71" i="10"/>
  <c r="AF71" i="10"/>
  <c r="X72" i="10"/>
  <c r="AF72" i="10"/>
  <c r="N73" i="10"/>
  <c r="X73" i="10"/>
  <c r="AF73" i="10"/>
  <c r="X74" i="10"/>
  <c r="AF74" i="10"/>
  <c r="X75" i="10"/>
  <c r="AF75" i="10"/>
  <c r="X76" i="10"/>
  <c r="AF76" i="10"/>
  <c r="X77" i="10"/>
  <c r="AF77" i="10"/>
  <c r="AF78" i="10"/>
  <c r="N80" i="10"/>
  <c r="X80" i="10"/>
  <c r="AF80" i="10"/>
  <c r="X81" i="10"/>
  <c r="AF81" i="10"/>
  <c r="N82" i="10"/>
  <c r="X82" i="10"/>
  <c r="AF82" i="10"/>
  <c r="N83" i="10"/>
  <c r="P83" i="10"/>
  <c r="X83" i="10"/>
  <c r="AF83" i="10"/>
  <c r="N84" i="10"/>
  <c r="X84" i="10"/>
  <c r="AF84" i="10"/>
  <c r="N85" i="10"/>
  <c r="X85" i="10"/>
  <c r="AF85" i="10"/>
  <c r="AF86" i="10"/>
  <c r="AF87" i="10"/>
  <c r="AF88" i="10"/>
  <c r="AQ13" i="10"/>
  <c r="AQ17" i="10"/>
  <c r="AQ27" i="10"/>
  <c r="AQ28" i="10"/>
  <c r="AQ32" i="10"/>
  <c r="AQ41" i="10"/>
  <c r="AQ45" i="10"/>
  <c r="AQ46" i="10"/>
  <c r="AQ73" i="10"/>
  <c r="AQ78" i="10"/>
  <c r="AQ86" i="10"/>
  <c r="AQ87" i="10"/>
  <c r="AQ88" i="10"/>
  <c r="AS88" i="10"/>
  <c r="AP7" i="10"/>
  <c r="AP8" i="10"/>
  <c r="AP9" i="10"/>
  <c r="AP10" i="10"/>
  <c r="AP11" i="10"/>
  <c r="AP12" i="10"/>
  <c r="AP13" i="10"/>
  <c r="AP14" i="10"/>
  <c r="AP15" i="10"/>
  <c r="AP16" i="10"/>
  <c r="AP17" i="10"/>
  <c r="AN20" i="10"/>
  <c r="AO20" i="10"/>
  <c r="AP20" i="10"/>
  <c r="AP21" i="10"/>
  <c r="AP22" i="10"/>
  <c r="AP23" i="10"/>
  <c r="AP24" i="10"/>
  <c r="AP25" i="10"/>
  <c r="AP26" i="10"/>
  <c r="AP27" i="10"/>
  <c r="AP28" i="10"/>
  <c r="AP29" i="10"/>
  <c r="AP30" i="10"/>
  <c r="AP31" i="10"/>
  <c r="AP32" i="10"/>
  <c r="AP34" i="10"/>
  <c r="AP35" i="10"/>
  <c r="AP36" i="10"/>
  <c r="AP37" i="10"/>
  <c r="AP38" i="10"/>
  <c r="AP39" i="10"/>
  <c r="AP40" i="10"/>
  <c r="AP41" i="10"/>
  <c r="AP43" i="10"/>
  <c r="AP44" i="10"/>
  <c r="AP45" i="10"/>
  <c r="AP46" i="10"/>
  <c r="AP49" i="10"/>
  <c r="AP50" i="10"/>
  <c r="AP51" i="10"/>
  <c r="AP52" i="10"/>
  <c r="AP53" i="10"/>
  <c r="AP54" i="10"/>
  <c r="AP55" i="10"/>
  <c r="AP56" i="10"/>
  <c r="AP57" i="10"/>
  <c r="AP58" i="10"/>
  <c r="AP59" i="10"/>
  <c r="AP60" i="10"/>
  <c r="AP61" i="10"/>
  <c r="AP62" i="10"/>
  <c r="AP63" i="10"/>
  <c r="AP64" i="10"/>
  <c r="AP65" i="10"/>
  <c r="AP66" i="10"/>
  <c r="AP67" i="10"/>
  <c r="AP68" i="10"/>
  <c r="AK69" i="10"/>
  <c r="AL69" i="10"/>
  <c r="AM69" i="10"/>
  <c r="AN69" i="10"/>
  <c r="AO69" i="10"/>
  <c r="AP69" i="10"/>
  <c r="AP70" i="10"/>
  <c r="AP71" i="10"/>
  <c r="AP73" i="10"/>
  <c r="AP74" i="10"/>
  <c r="AP75" i="10"/>
  <c r="AP76" i="10"/>
  <c r="AP77" i="10"/>
  <c r="AP78" i="10"/>
  <c r="AP80" i="10"/>
  <c r="AP81" i="10"/>
  <c r="AP82" i="10"/>
  <c r="AP83" i="10"/>
  <c r="AP84" i="10"/>
  <c r="AP85" i="10"/>
  <c r="AP86" i="10"/>
  <c r="AP87" i="10"/>
  <c r="AP88" i="10"/>
  <c r="AO17" i="10"/>
  <c r="AO32" i="10"/>
  <c r="AO41" i="10"/>
  <c r="AO45" i="10"/>
  <c r="AO46" i="10"/>
  <c r="AO78" i="10"/>
  <c r="AO86" i="10"/>
  <c r="AO87" i="10"/>
  <c r="AO88" i="10"/>
  <c r="AN17" i="10"/>
  <c r="AN32" i="10"/>
  <c r="AN41" i="10"/>
  <c r="AN45" i="10"/>
  <c r="AN46" i="10"/>
  <c r="AN78" i="10"/>
  <c r="AN86" i="10"/>
  <c r="AN87" i="10"/>
  <c r="AN88" i="10"/>
  <c r="AM17" i="10"/>
  <c r="AM32" i="10"/>
  <c r="AM41" i="10"/>
  <c r="AM45" i="10"/>
  <c r="AM46" i="10"/>
  <c r="AM78" i="10"/>
  <c r="AM86" i="10"/>
  <c r="AM87" i="10"/>
  <c r="AM88" i="10"/>
  <c r="AL17" i="10"/>
  <c r="AL32" i="10"/>
  <c r="AL41" i="10"/>
  <c r="AL45" i="10"/>
  <c r="AL46" i="10"/>
  <c r="AL78" i="10"/>
  <c r="AL86" i="10"/>
  <c r="AL87" i="10"/>
  <c r="AL88" i="10"/>
  <c r="AK17" i="10"/>
  <c r="AK32" i="10"/>
  <c r="AK41" i="10"/>
  <c r="AK45" i="10"/>
  <c r="AK46" i="10"/>
  <c r="AK78" i="10"/>
  <c r="AK86" i="10"/>
  <c r="AK87" i="10"/>
  <c r="AK88" i="10"/>
  <c r="AJ17" i="10"/>
  <c r="AJ32" i="10"/>
  <c r="AJ41" i="10"/>
  <c r="AJ45" i="10"/>
  <c r="AJ46" i="10"/>
  <c r="AJ78" i="10"/>
  <c r="AJ86" i="10"/>
  <c r="AJ87" i="10"/>
  <c r="AJ88" i="10"/>
  <c r="AI17" i="10"/>
  <c r="AI20" i="10"/>
  <c r="AI21" i="10"/>
  <c r="AI22" i="10"/>
  <c r="AI24" i="10"/>
  <c r="AI25" i="10"/>
  <c r="AI32" i="10"/>
  <c r="AI41" i="10"/>
  <c r="AI45" i="10"/>
  <c r="AI46" i="10"/>
  <c r="AI78" i="10"/>
  <c r="AI86" i="10"/>
  <c r="AI87" i="10"/>
  <c r="AI88" i="10"/>
  <c r="AH17" i="10"/>
  <c r="AH32" i="10"/>
  <c r="AH41" i="10"/>
  <c r="AH45" i="10"/>
  <c r="AH46" i="10"/>
  <c r="AH78" i="10"/>
  <c r="AH86" i="10"/>
  <c r="AH87" i="10"/>
  <c r="AH88" i="10"/>
  <c r="AG17" i="10"/>
  <c r="AG27" i="10"/>
  <c r="AG32" i="10"/>
  <c r="AG38" i="10"/>
  <c r="AG41" i="10"/>
  <c r="AG45" i="10"/>
  <c r="AG46" i="10"/>
  <c r="AG73" i="10"/>
  <c r="AG78" i="10"/>
  <c r="AG83" i="10"/>
  <c r="AG86" i="10"/>
  <c r="AG87" i="10"/>
  <c r="AG88" i="10"/>
  <c r="AE7" i="10"/>
  <c r="AE8" i="10"/>
  <c r="AE9" i="10"/>
  <c r="AE10" i="10"/>
  <c r="AE11" i="10"/>
  <c r="AE12" i="10"/>
  <c r="AE13" i="10"/>
  <c r="AE14" i="10"/>
  <c r="AE15" i="10"/>
  <c r="AE16" i="10"/>
  <c r="AE17" i="10"/>
  <c r="AE20" i="10"/>
  <c r="AE21" i="10"/>
  <c r="AE22" i="10"/>
  <c r="AE23" i="10"/>
  <c r="AE24" i="10"/>
  <c r="AE25" i="10"/>
  <c r="AE26" i="10"/>
  <c r="AE27" i="10"/>
  <c r="AE28" i="10"/>
  <c r="AE29" i="10"/>
  <c r="AE30" i="10"/>
  <c r="AE31" i="10"/>
  <c r="AE32" i="10"/>
  <c r="AE34" i="10"/>
  <c r="AE35" i="10"/>
  <c r="AE36" i="10"/>
  <c r="AE37" i="10"/>
  <c r="AE38" i="10"/>
  <c r="AE39" i="10"/>
  <c r="AE40" i="10"/>
  <c r="AE41" i="10"/>
  <c r="AE43" i="10"/>
  <c r="AE44" i="10"/>
  <c r="AE45" i="10"/>
  <c r="AE46" i="10"/>
  <c r="AE49" i="10"/>
  <c r="AE50" i="10"/>
  <c r="AE51" i="10"/>
  <c r="AE52" i="10"/>
  <c r="AE53" i="10"/>
  <c r="AE54" i="10"/>
  <c r="AE55" i="10"/>
  <c r="AE56" i="10"/>
  <c r="AE57" i="10"/>
  <c r="AE58" i="10"/>
  <c r="AE59" i="10"/>
  <c r="AE60" i="10"/>
  <c r="AE61" i="10"/>
  <c r="AE62" i="10"/>
  <c r="AE63" i="10"/>
  <c r="AE64" i="10"/>
  <c r="AE65" i="10"/>
  <c r="AE66" i="10"/>
  <c r="AE67" i="10"/>
  <c r="AE68" i="10"/>
  <c r="AE69" i="10"/>
  <c r="AE70" i="10"/>
  <c r="AE71" i="10"/>
  <c r="AE72" i="10"/>
  <c r="AE73" i="10"/>
  <c r="AE74" i="10"/>
  <c r="AE75" i="10"/>
  <c r="AE76" i="10"/>
  <c r="AE77" i="10"/>
  <c r="AE78" i="10"/>
  <c r="AE80" i="10"/>
  <c r="AE81" i="10"/>
  <c r="AE82" i="10"/>
  <c r="AE83" i="10"/>
  <c r="AE84" i="10"/>
  <c r="AE85" i="10"/>
  <c r="AE86" i="10"/>
  <c r="AE87" i="10"/>
  <c r="AE88" i="10"/>
  <c r="AA17" i="10"/>
  <c r="AA32" i="10"/>
  <c r="AA41" i="10"/>
  <c r="AA45" i="10"/>
  <c r="AA46" i="10"/>
  <c r="AA78" i="10"/>
  <c r="AA86" i="10"/>
  <c r="AA87" i="10"/>
  <c r="AA88" i="10"/>
  <c r="Z17" i="10"/>
  <c r="Z32" i="10"/>
  <c r="Z45" i="10"/>
  <c r="Z46" i="10"/>
  <c r="Z78" i="10"/>
  <c r="Z86" i="10"/>
  <c r="Z87" i="10"/>
  <c r="Z88" i="10"/>
  <c r="Y17" i="10"/>
  <c r="Y32" i="10"/>
  <c r="Y45" i="10"/>
  <c r="Y46" i="10"/>
  <c r="Y78" i="10"/>
  <c r="Y86" i="10"/>
  <c r="Y87" i="10"/>
  <c r="Y88" i="10"/>
  <c r="X17" i="10"/>
  <c r="P32" i="10"/>
  <c r="O32" i="10"/>
  <c r="X32" i="10"/>
  <c r="P41" i="10"/>
  <c r="O41" i="10"/>
  <c r="X41" i="10"/>
  <c r="P45" i="10"/>
  <c r="O45" i="10"/>
  <c r="X45" i="10"/>
  <c r="X46" i="10"/>
  <c r="P78" i="10"/>
  <c r="O78" i="10"/>
  <c r="X78" i="10"/>
  <c r="P86" i="10"/>
  <c r="O86" i="10"/>
  <c r="X86" i="10"/>
  <c r="X87" i="10"/>
  <c r="X88" i="10"/>
  <c r="V17" i="10"/>
  <c r="V32" i="10"/>
  <c r="V41" i="10"/>
  <c r="V45" i="10"/>
  <c r="V46" i="10"/>
  <c r="V78" i="10"/>
  <c r="V86" i="10"/>
  <c r="V87" i="10"/>
  <c r="V88" i="10"/>
  <c r="U17" i="10"/>
  <c r="U32" i="10"/>
  <c r="U41" i="10"/>
  <c r="U45" i="10"/>
  <c r="U46" i="10"/>
  <c r="U78" i="10"/>
  <c r="U86" i="10"/>
  <c r="U87" i="10"/>
  <c r="U88" i="10"/>
  <c r="T17" i="10"/>
  <c r="T32" i="10"/>
  <c r="T41" i="10"/>
  <c r="T45" i="10"/>
  <c r="T46" i="10"/>
  <c r="T78" i="10"/>
  <c r="T86" i="10"/>
  <c r="T87" i="10"/>
  <c r="T88" i="10"/>
  <c r="R17" i="10"/>
  <c r="R32" i="10"/>
  <c r="R41" i="10"/>
  <c r="R45" i="10"/>
  <c r="R46" i="10"/>
  <c r="R78" i="10"/>
  <c r="R86" i="10"/>
  <c r="R87" i="10"/>
  <c r="R88" i="10"/>
  <c r="Q17" i="10"/>
  <c r="Q32" i="10"/>
  <c r="Q41" i="10"/>
  <c r="Q45" i="10"/>
  <c r="Q46" i="10"/>
  <c r="Q78" i="10"/>
  <c r="Q86" i="10"/>
  <c r="Q87" i="10"/>
  <c r="Q88" i="10"/>
  <c r="P17" i="10"/>
  <c r="P46" i="10"/>
  <c r="P87" i="10"/>
  <c r="P88" i="10"/>
  <c r="O17" i="10"/>
  <c r="O46" i="10"/>
  <c r="O87" i="10"/>
  <c r="O88" i="10"/>
  <c r="N17" i="10"/>
  <c r="N32" i="10"/>
  <c r="N41" i="10"/>
  <c r="N45" i="10"/>
  <c r="N46" i="10"/>
  <c r="N78" i="10"/>
  <c r="N86" i="10"/>
  <c r="N87" i="10"/>
  <c r="N88" i="10"/>
  <c r="M17" i="10"/>
  <c r="M32" i="10"/>
  <c r="M41" i="10"/>
  <c r="M45" i="10"/>
  <c r="M46" i="10"/>
  <c r="M78" i="10"/>
  <c r="M86" i="10"/>
  <c r="M87" i="10"/>
  <c r="M88" i="10"/>
  <c r="L17" i="10"/>
  <c r="L32" i="10"/>
  <c r="L41" i="10"/>
  <c r="L45" i="10"/>
  <c r="L46" i="10"/>
  <c r="L78" i="10"/>
  <c r="L86" i="10"/>
  <c r="L87" i="10"/>
  <c r="L88" i="10"/>
  <c r="K17" i="10"/>
  <c r="K32" i="10"/>
  <c r="K41" i="10"/>
  <c r="K45" i="10"/>
  <c r="K46" i="10"/>
  <c r="K78" i="10"/>
  <c r="K86" i="10"/>
  <c r="K87" i="10"/>
  <c r="K88" i="10"/>
  <c r="J17" i="10"/>
  <c r="J32" i="10"/>
  <c r="J41" i="10"/>
  <c r="J45" i="10"/>
  <c r="J46" i="10"/>
  <c r="J78" i="10"/>
  <c r="J86" i="10"/>
  <c r="J87" i="10"/>
  <c r="J88" i="10"/>
  <c r="I17" i="10"/>
  <c r="I32" i="10"/>
  <c r="I41" i="10"/>
  <c r="I45" i="10"/>
  <c r="I46" i="10"/>
  <c r="I78" i="10"/>
  <c r="I86" i="10"/>
  <c r="I87" i="10"/>
  <c r="I88" i="10"/>
  <c r="AS7" i="10"/>
  <c r="N7" i="9"/>
  <c r="S7" i="9"/>
  <c r="W7" i="9"/>
  <c r="X7" i="9"/>
  <c r="AB7" i="9"/>
  <c r="AE7" i="9"/>
  <c r="AF7" i="9"/>
  <c r="AP7" i="9"/>
  <c r="AQ7" i="9"/>
  <c r="AS7" i="9"/>
  <c r="N8" i="9"/>
  <c r="S8" i="9"/>
  <c r="W8" i="9"/>
  <c r="X8" i="9"/>
  <c r="AB8" i="9"/>
  <c r="AE8" i="9"/>
  <c r="AF8" i="9"/>
  <c r="AP8" i="9"/>
  <c r="N9" i="9"/>
  <c r="S9" i="9"/>
  <c r="W9" i="9"/>
  <c r="X9" i="9"/>
  <c r="AB9" i="9"/>
  <c r="AE9" i="9"/>
  <c r="AF9" i="9"/>
  <c r="AP9" i="9"/>
  <c r="N10" i="9"/>
  <c r="S10" i="9"/>
  <c r="W10" i="9"/>
  <c r="X10" i="9"/>
  <c r="AB10" i="9"/>
  <c r="AE10" i="9"/>
  <c r="AF10" i="9"/>
  <c r="AP10" i="9"/>
  <c r="N11" i="9"/>
  <c r="S11" i="9"/>
  <c r="W11" i="9"/>
  <c r="X11" i="9"/>
  <c r="AB11" i="9"/>
  <c r="AE11" i="9"/>
  <c r="AF11" i="9"/>
  <c r="AP11" i="9"/>
  <c r="N12" i="9"/>
  <c r="Q12" i="9"/>
  <c r="S12" i="9"/>
  <c r="W12" i="9"/>
  <c r="X12" i="9"/>
  <c r="AA12" i="9"/>
  <c r="AB12" i="9"/>
  <c r="AE12" i="9"/>
  <c r="AF12" i="9"/>
  <c r="AP12" i="9"/>
  <c r="N13" i="9"/>
  <c r="S13" i="9"/>
  <c r="W13" i="9"/>
  <c r="X13" i="9"/>
  <c r="AB13" i="9"/>
  <c r="AE13" i="9"/>
  <c r="AF13" i="9"/>
  <c r="AP13" i="9"/>
  <c r="AQ13" i="9"/>
  <c r="N14" i="9"/>
  <c r="S14" i="9"/>
  <c r="W14" i="9"/>
  <c r="X14" i="9"/>
  <c r="AB14" i="9"/>
  <c r="AE14" i="9"/>
  <c r="AF14" i="9"/>
  <c r="AP14" i="9"/>
  <c r="N15" i="9"/>
  <c r="S15" i="9"/>
  <c r="W15" i="9"/>
  <c r="X15" i="9"/>
  <c r="AB15" i="9"/>
  <c r="AE15" i="9"/>
  <c r="AF15" i="9"/>
  <c r="AP15" i="9"/>
  <c r="N16" i="9"/>
  <c r="S16" i="9"/>
  <c r="W16" i="9"/>
  <c r="X16" i="9"/>
  <c r="Y16" i="9"/>
  <c r="AB16" i="9"/>
  <c r="AE16" i="9"/>
  <c r="AF16" i="9"/>
  <c r="AP16" i="9"/>
  <c r="I17" i="9"/>
  <c r="J17" i="9"/>
  <c r="K17" i="9"/>
  <c r="L17" i="9"/>
  <c r="M17" i="9"/>
  <c r="N17" i="9"/>
  <c r="O17" i="9"/>
  <c r="P17" i="9"/>
  <c r="Q17" i="9"/>
  <c r="R17" i="9"/>
  <c r="S17" i="9"/>
  <c r="T17" i="9"/>
  <c r="U17" i="9"/>
  <c r="V17" i="9"/>
  <c r="W17" i="9"/>
  <c r="X17" i="9"/>
  <c r="Y17" i="9"/>
  <c r="Z17" i="9"/>
  <c r="AA17" i="9"/>
  <c r="AB17" i="9"/>
  <c r="AC17" i="9"/>
  <c r="AD17" i="9"/>
  <c r="AE17" i="9"/>
  <c r="AF17" i="9"/>
  <c r="AG17" i="9"/>
  <c r="AH17" i="9"/>
  <c r="AI17" i="9"/>
  <c r="AJ17" i="9"/>
  <c r="AK17" i="9"/>
  <c r="AL17" i="9"/>
  <c r="AM17" i="9"/>
  <c r="AN17" i="9"/>
  <c r="AO17" i="9"/>
  <c r="AP17" i="9"/>
  <c r="AQ17" i="9"/>
  <c r="N20" i="9"/>
  <c r="Q20" i="9"/>
  <c r="S20" i="9"/>
  <c r="W20" i="9"/>
  <c r="X20" i="9"/>
  <c r="AA20" i="9"/>
  <c r="AB20" i="9"/>
  <c r="AC20" i="9"/>
  <c r="AD20" i="9"/>
  <c r="AE20" i="9"/>
  <c r="AF20" i="9"/>
  <c r="AN20" i="9"/>
  <c r="AO20" i="9"/>
  <c r="AI20" i="9"/>
  <c r="AP20" i="9"/>
  <c r="AQ20" i="9"/>
  <c r="N21" i="9"/>
  <c r="Q21" i="9"/>
  <c r="S21" i="9"/>
  <c r="W21" i="9"/>
  <c r="X21" i="9"/>
  <c r="AA21" i="9"/>
  <c r="AB21" i="9"/>
  <c r="AC21" i="9"/>
  <c r="AD21" i="9"/>
  <c r="AE21" i="9"/>
  <c r="AF21" i="9"/>
  <c r="AI21" i="9"/>
  <c r="AP21" i="9"/>
  <c r="AQ21" i="9"/>
  <c r="N22" i="9"/>
  <c r="Q22" i="9"/>
  <c r="S22" i="9"/>
  <c r="W22" i="9"/>
  <c r="X22" i="9"/>
  <c r="AA22" i="9"/>
  <c r="AB22" i="9"/>
  <c r="AC22" i="9"/>
  <c r="AD22" i="9"/>
  <c r="AE22" i="9"/>
  <c r="AF22" i="9"/>
  <c r="AI22" i="9"/>
  <c r="AP22" i="9"/>
  <c r="AQ22" i="9"/>
  <c r="N23" i="9"/>
  <c r="S23" i="9"/>
  <c r="W23" i="9"/>
  <c r="X23" i="9"/>
  <c r="AB23" i="9"/>
  <c r="AE23" i="9"/>
  <c r="AF23" i="9"/>
  <c r="AP23" i="9"/>
  <c r="N24" i="9"/>
  <c r="S24" i="9"/>
  <c r="W24" i="9"/>
  <c r="X24" i="9"/>
  <c r="AB24" i="9"/>
  <c r="AE24" i="9"/>
  <c r="AF24" i="9"/>
  <c r="AI24" i="9"/>
  <c r="AP24" i="9"/>
  <c r="N25" i="9"/>
  <c r="S25" i="9"/>
  <c r="W25" i="9"/>
  <c r="X25" i="9"/>
  <c r="AB25" i="9"/>
  <c r="AE25" i="9"/>
  <c r="AF25" i="9"/>
  <c r="AI25" i="9"/>
  <c r="AP25" i="9"/>
  <c r="S26" i="9"/>
  <c r="W26" i="9"/>
  <c r="X26" i="9"/>
  <c r="AB26" i="9"/>
  <c r="AE26" i="9"/>
  <c r="AF26" i="9"/>
  <c r="AP26" i="9"/>
  <c r="N27" i="9"/>
  <c r="Q27" i="9"/>
  <c r="S27" i="9"/>
  <c r="W27" i="9"/>
  <c r="X27" i="9"/>
  <c r="AA27" i="9"/>
  <c r="AB27" i="9"/>
  <c r="AE27" i="9"/>
  <c r="AF27" i="9"/>
  <c r="AG27" i="9"/>
  <c r="AP27" i="9"/>
  <c r="AQ27" i="9"/>
  <c r="N28" i="9"/>
  <c r="S28" i="9"/>
  <c r="W28" i="9"/>
  <c r="X28" i="9"/>
  <c r="AA28" i="9"/>
  <c r="AB28" i="9"/>
  <c r="AE28" i="9"/>
  <c r="AF28" i="9"/>
  <c r="AP28" i="9"/>
  <c r="AQ28" i="9"/>
  <c r="S29" i="9"/>
  <c r="W29" i="9"/>
  <c r="X29" i="9"/>
  <c r="AB29" i="9"/>
  <c r="AE29" i="9"/>
  <c r="AF29" i="9"/>
  <c r="AP29" i="9"/>
  <c r="S30" i="9"/>
  <c r="W30" i="9"/>
  <c r="X30" i="9"/>
  <c r="AB30" i="9"/>
  <c r="AE30" i="9"/>
  <c r="AF30" i="9"/>
  <c r="AP30" i="9"/>
  <c r="N31" i="9"/>
  <c r="Q31" i="9"/>
  <c r="S31" i="9"/>
  <c r="W31" i="9"/>
  <c r="X31" i="9"/>
  <c r="AB31" i="9"/>
  <c r="AE31" i="9"/>
  <c r="AF31" i="9"/>
  <c r="AP31" i="9"/>
  <c r="I32" i="9"/>
  <c r="J32" i="9"/>
  <c r="K32" i="9"/>
  <c r="L32" i="9"/>
  <c r="M32" i="9"/>
  <c r="N32" i="9"/>
  <c r="O32" i="9"/>
  <c r="P32" i="9"/>
  <c r="Q32" i="9"/>
  <c r="R32" i="9"/>
  <c r="S32" i="9"/>
  <c r="T32" i="9"/>
  <c r="U32" i="9"/>
  <c r="V32" i="9"/>
  <c r="W32" i="9"/>
  <c r="X32" i="9"/>
  <c r="Y32" i="9"/>
  <c r="Z32" i="9"/>
  <c r="AA32" i="9"/>
  <c r="AB32" i="9"/>
  <c r="AC32" i="9"/>
  <c r="AD32" i="9"/>
  <c r="AE32" i="9"/>
  <c r="AF32" i="9"/>
  <c r="AG32" i="9"/>
  <c r="AH32" i="9"/>
  <c r="AI32" i="9"/>
  <c r="AJ32" i="9"/>
  <c r="AK32" i="9"/>
  <c r="AL32" i="9"/>
  <c r="AM32" i="9"/>
  <c r="AN32" i="9"/>
  <c r="AO32" i="9"/>
  <c r="AP32" i="9"/>
  <c r="AQ32" i="9"/>
  <c r="N34" i="9"/>
  <c r="S34" i="9"/>
  <c r="W34" i="9"/>
  <c r="X34" i="9"/>
  <c r="AB34" i="9"/>
  <c r="AE34" i="9"/>
  <c r="AF34" i="9"/>
  <c r="AP34" i="9"/>
  <c r="N35" i="9"/>
  <c r="S35" i="9"/>
  <c r="W35" i="9"/>
  <c r="X35" i="9"/>
  <c r="AB35" i="9"/>
  <c r="AE35" i="9"/>
  <c r="AF35" i="9"/>
  <c r="AP35" i="9"/>
  <c r="N36" i="9"/>
  <c r="S36" i="9"/>
  <c r="W36" i="9"/>
  <c r="X36" i="9"/>
  <c r="AB36" i="9"/>
  <c r="AE36" i="9"/>
  <c r="AF36" i="9"/>
  <c r="AP36" i="9"/>
  <c r="S37" i="9"/>
  <c r="W37" i="9"/>
  <c r="X37" i="9"/>
  <c r="AB37" i="9"/>
  <c r="AE37" i="9"/>
  <c r="AF37" i="9"/>
  <c r="AP37" i="9"/>
  <c r="N38" i="9"/>
  <c r="S38" i="9"/>
  <c r="W38" i="9"/>
  <c r="X38" i="9"/>
  <c r="AB38" i="9"/>
  <c r="AE38" i="9"/>
  <c r="AF38" i="9"/>
  <c r="AG38" i="9"/>
  <c r="AP38" i="9"/>
  <c r="N39" i="9"/>
  <c r="S39" i="9"/>
  <c r="W39" i="9"/>
  <c r="X39" i="9"/>
  <c r="AB39" i="9"/>
  <c r="AE39" i="9"/>
  <c r="AF39" i="9"/>
  <c r="AP39" i="9"/>
  <c r="N40" i="9"/>
  <c r="S40" i="9"/>
  <c r="W40" i="9"/>
  <c r="X40" i="9"/>
  <c r="AB40" i="9"/>
  <c r="AE40" i="9"/>
  <c r="AF40" i="9"/>
  <c r="AP40" i="9"/>
  <c r="I41" i="9"/>
  <c r="J41" i="9"/>
  <c r="K41" i="9"/>
  <c r="L41" i="9"/>
  <c r="M41" i="9"/>
  <c r="N41" i="9"/>
  <c r="O41" i="9"/>
  <c r="P41" i="9"/>
  <c r="Q41" i="9"/>
  <c r="R41" i="9"/>
  <c r="S41" i="9"/>
  <c r="T41" i="9"/>
  <c r="U41" i="9"/>
  <c r="V41" i="9"/>
  <c r="W41" i="9"/>
  <c r="X41" i="9"/>
  <c r="AA41" i="9"/>
  <c r="AB41" i="9"/>
  <c r="AC41" i="9"/>
  <c r="AD41" i="9"/>
  <c r="AE41" i="9"/>
  <c r="AF41" i="9"/>
  <c r="AG41" i="9"/>
  <c r="AH41" i="9"/>
  <c r="AI41" i="9"/>
  <c r="AJ41" i="9"/>
  <c r="AK41" i="9"/>
  <c r="AL41" i="9"/>
  <c r="AM41" i="9"/>
  <c r="AN41" i="9"/>
  <c r="AO41" i="9"/>
  <c r="AP41" i="9"/>
  <c r="AQ41" i="9"/>
  <c r="N43" i="9"/>
  <c r="S43" i="9"/>
  <c r="W43" i="9"/>
  <c r="X43" i="9"/>
  <c r="AB43" i="9"/>
  <c r="AE43" i="9"/>
  <c r="AF43" i="9"/>
  <c r="AP43" i="9"/>
  <c r="N44" i="9"/>
  <c r="S44" i="9"/>
  <c r="W44" i="9"/>
  <c r="X44" i="9"/>
  <c r="AB44" i="9"/>
  <c r="AE44" i="9"/>
  <c r="AF44" i="9"/>
  <c r="AP44" i="9"/>
  <c r="I45" i="9"/>
  <c r="J45" i="9"/>
  <c r="K45" i="9"/>
  <c r="L45" i="9"/>
  <c r="M45" i="9"/>
  <c r="N45" i="9"/>
  <c r="O45" i="9"/>
  <c r="P45" i="9"/>
  <c r="Q45" i="9"/>
  <c r="R45" i="9"/>
  <c r="S45" i="9"/>
  <c r="T45" i="9"/>
  <c r="U45" i="9"/>
  <c r="V45" i="9"/>
  <c r="W45" i="9"/>
  <c r="X45" i="9"/>
  <c r="Y45" i="9"/>
  <c r="Z45" i="9"/>
  <c r="AA45" i="9"/>
  <c r="AB45" i="9"/>
  <c r="AC45" i="9"/>
  <c r="AD45" i="9"/>
  <c r="AE45" i="9"/>
  <c r="AF45" i="9"/>
  <c r="AG45" i="9"/>
  <c r="AH45" i="9"/>
  <c r="AI45" i="9"/>
  <c r="AJ45" i="9"/>
  <c r="AK45" i="9"/>
  <c r="AL45" i="9"/>
  <c r="AM45" i="9"/>
  <c r="AN45" i="9"/>
  <c r="AO45" i="9"/>
  <c r="AP45" i="9"/>
  <c r="AQ45" i="9"/>
  <c r="I46" i="9"/>
  <c r="J46" i="9"/>
  <c r="K46" i="9"/>
  <c r="L46" i="9"/>
  <c r="M46" i="9"/>
  <c r="N46" i="9"/>
  <c r="O46" i="9"/>
  <c r="P46" i="9"/>
  <c r="Q46" i="9"/>
  <c r="R46" i="9"/>
  <c r="S46" i="9"/>
  <c r="T46" i="9"/>
  <c r="U46" i="9"/>
  <c r="V46" i="9"/>
  <c r="W46" i="9"/>
  <c r="X46" i="9"/>
  <c r="Y46" i="9"/>
  <c r="Z46" i="9"/>
  <c r="AA46" i="9"/>
  <c r="AB46" i="9"/>
  <c r="AC46" i="9"/>
  <c r="AD46" i="9"/>
  <c r="AE46" i="9"/>
  <c r="AF46" i="9"/>
  <c r="AG46" i="9"/>
  <c r="AH46" i="9"/>
  <c r="AI46" i="9"/>
  <c r="AJ46" i="9"/>
  <c r="AK46" i="9"/>
  <c r="AL46" i="9"/>
  <c r="AM46" i="9"/>
  <c r="AN46" i="9"/>
  <c r="AO46" i="9"/>
  <c r="AP46" i="9"/>
  <c r="AQ46" i="9"/>
  <c r="N49" i="9"/>
  <c r="S49" i="9"/>
  <c r="W49" i="9"/>
  <c r="X49" i="9"/>
  <c r="AB49" i="9"/>
  <c r="AE49" i="9"/>
  <c r="AF49" i="9"/>
  <c r="AP49" i="9"/>
  <c r="N50" i="9"/>
  <c r="S50" i="9"/>
  <c r="W50" i="9"/>
  <c r="X50" i="9"/>
  <c r="AB50" i="9"/>
  <c r="AE50" i="9"/>
  <c r="AF50" i="9"/>
  <c r="AP50" i="9"/>
  <c r="N51" i="9"/>
  <c r="S51" i="9"/>
  <c r="W51" i="9"/>
  <c r="X51" i="9"/>
  <c r="AB51" i="9"/>
  <c r="AE51" i="9"/>
  <c r="AF51" i="9"/>
  <c r="AP51" i="9"/>
  <c r="N52" i="9"/>
  <c r="S52" i="9"/>
  <c r="W52" i="9"/>
  <c r="X52" i="9"/>
  <c r="AB52" i="9"/>
  <c r="AE52" i="9"/>
  <c r="AF52" i="9"/>
  <c r="AP52" i="9"/>
  <c r="S53" i="9"/>
  <c r="W53" i="9"/>
  <c r="X53" i="9"/>
  <c r="AB53" i="9"/>
  <c r="AE53" i="9"/>
  <c r="AF53" i="9"/>
  <c r="AP53" i="9"/>
  <c r="S54" i="9"/>
  <c r="W54" i="9"/>
  <c r="X54" i="9"/>
  <c r="AB54" i="9"/>
  <c r="AE54" i="9"/>
  <c r="AF54" i="9"/>
  <c r="AP54" i="9"/>
  <c r="N55" i="9"/>
  <c r="S55" i="9"/>
  <c r="W55" i="9"/>
  <c r="X55" i="9"/>
  <c r="AB55" i="9"/>
  <c r="AE55" i="9"/>
  <c r="AF55" i="9"/>
  <c r="AP55" i="9"/>
  <c r="S56" i="9"/>
  <c r="W56" i="9"/>
  <c r="X56" i="9"/>
  <c r="AB56" i="9"/>
  <c r="AE56" i="9"/>
  <c r="AF56" i="9"/>
  <c r="AP56" i="9"/>
  <c r="N57" i="9"/>
  <c r="Q57" i="9"/>
  <c r="S57" i="9"/>
  <c r="W57" i="9"/>
  <c r="X57" i="9"/>
  <c r="AB57" i="9"/>
  <c r="AE57" i="9"/>
  <c r="AF57" i="9"/>
  <c r="AP57" i="9"/>
  <c r="S58" i="9"/>
  <c r="W58" i="9"/>
  <c r="X58" i="9"/>
  <c r="AB58" i="9"/>
  <c r="AE58" i="9"/>
  <c r="AF58" i="9"/>
  <c r="AP58" i="9"/>
  <c r="N59" i="9"/>
  <c r="S59" i="9"/>
  <c r="W59" i="9"/>
  <c r="X59" i="9"/>
  <c r="AB59" i="9"/>
  <c r="AE59" i="9"/>
  <c r="AF59" i="9"/>
  <c r="AP59" i="9"/>
  <c r="N60" i="9"/>
  <c r="S60" i="9"/>
  <c r="W60" i="9"/>
  <c r="X60" i="9"/>
  <c r="AB60" i="9"/>
  <c r="AE60" i="9"/>
  <c r="AF60" i="9"/>
  <c r="AP60" i="9"/>
  <c r="N61" i="9"/>
  <c r="S61" i="9"/>
  <c r="W61" i="9"/>
  <c r="X61" i="9"/>
  <c r="AB61" i="9"/>
  <c r="AE61" i="9"/>
  <c r="AF61" i="9"/>
  <c r="AP61" i="9"/>
  <c r="N62" i="9"/>
  <c r="S62" i="9"/>
  <c r="W62" i="9"/>
  <c r="X62" i="9"/>
  <c r="AB62" i="9"/>
  <c r="AE62" i="9"/>
  <c r="AF62" i="9"/>
  <c r="AP62" i="9"/>
  <c r="N63" i="9"/>
  <c r="Q63" i="9"/>
  <c r="S63" i="9"/>
  <c r="W63" i="9"/>
  <c r="X63" i="9"/>
  <c r="AB63" i="9"/>
  <c r="AE63" i="9"/>
  <c r="AF63" i="9"/>
  <c r="AP63" i="9"/>
  <c r="N64" i="9"/>
  <c r="Q64" i="9"/>
  <c r="S64" i="9"/>
  <c r="W64" i="9"/>
  <c r="X64" i="9"/>
  <c r="AB64" i="9"/>
  <c r="AE64" i="9"/>
  <c r="AF64" i="9"/>
  <c r="AP64" i="9"/>
  <c r="N65" i="9"/>
  <c r="S65" i="9"/>
  <c r="W65" i="9"/>
  <c r="X65" i="9"/>
  <c r="AB65" i="9"/>
  <c r="AE65" i="9"/>
  <c r="AF65" i="9"/>
  <c r="AP65" i="9"/>
  <c r="N66" i="9"/>
  <c r="S66" i="9"/>
  <c r="W66" i="9"/>
  <c r="X66" i="9"/>
  <c r="AB66" i="9"/>
  <c r="AE66" i="9"/>
  <c r="AF66" i="9"/>
  <c r="AP66" i="9"/>
  <c r="N67" i="9"/>
  <c r="S67" i="9"/>
  <c r="W67" i="9"/>
  <c r="X67" i="9"/>
  <c r="AB67" i="9"/>
  <c r="AE67" i="9"/>
  <c r="AF67" i="9"/>
  <c r="AP67" i="9"/>
  <c r="N68" i="9"/>
  <c r="S68" i="9"/>
  <c r="W68" i="9"/>
  <c r="X68" i="9"/>
  <c r="AB68" i="9"/>
  <c r="AE68" i="9"/>
  <c r="AF68" i="9"/>
  <c r="AP68" i="9"/>
  <c r="N69" i="9"/>
  <c r="S69" i="9"/>
  <c r="W69" i="9"/>
  <c r="X69" i="9"/>
  <c r="AB69" i="9"/>
  <c r="AE69" i="9"/>
  <c r="AF69" i="9"/>
  <c r="AK69" i="9"/>
  <c r="AL69" i="9"/>
  <c r="AM69" i="9"/>
  <c r="AN69" i="9"/>
  <c r="AO69" i="9"/>
  <c r="AP69" i="9"/>
  <c r="N70" i="9"/>
  <c r="S70" i="9"/>
  <c r="W70" i="9"/>
  <c r="X70" i="9"/>
  <c r="AB70" i="9"/>
  <c r="AE70" i="9"/>
  <c r="AF70" i="9"/>
  <c r="AP70" i="9"/>
  <c r="N71" i="9"/>
  <c r="S71" i="9"/>
  <c r="W71" i="9"/>
  <c r="X71" i="9"/>
  <c r="AB71" i="9"/>
  <c r="AE71" i="9"/>
  <c r="AF71" i="9"/>
  <c r="AP71" i="9"/>
  <c r="S72" i="9"/>
  <c r="W72" i="9"/>
  <c r="X72" i="9"/>
  <c r="AB72" i="9"/>
  <c r="AE72" i="9"/>
  <c r="AF72" i="9"/>
  <c r="N73" i="9"/>
  <c r="Q73" i="9"/>
  <c r="S73" i="9"/>
  <c r="W73" i="9"/>
  <c r="X73" i="9"/>
  <c r="AA73" i="9"/>
  <c r="AB73" i="9"/>
  <c r="AE73" i="9"/>
  <c r="AF73" i="9"/>
  <c r="AG73" i="9"/>
  <c r="AP73" i="9"/>
  <c r="AQ73" i="9"/>
  <c r="S74" i="9"/>
  <c r="W74" i="9"/>
  <c r="X74" i="9"/>
  <c r="AB74" i="9"/>
  <c r="AE74" i="9"/>
  <c r="AF74" i="9"/>
  <c r="AP74" i="9"/>
  <c r="S75" i="9"/>
  <c r="W75" i="9"/>
  <c r="X75" i="9"/>
  <c r="AB75" i="9"/>
  <c r="AE75" i="9"/>
  <c r="AF75" i="9"/>
  <c r="AP75" i="9"/>
  <c r="S76" i="9"/>
  <c r="W76" i="9"/>
  <c r="X76" i="9"/>
  <c r="AB76" i="9"/>
  <c r="AE76" i="9"/>
  <c r="AF76" i="9"/>
  <c r="AP76" i="9"/>
  <c r="S77" i="9"/>
  <c r="W77" i="9"/>
  <c r="X77" i="9"/>
  <c r="AB77" i="9"/>
  <c r="AE77" i="9"/>
  <c r="AF77" i="9"/>
  <c r="AP77" i="9"/>
  <c r="I78" i="9"/>
  <c r="J78" i="9"/>
  <c r="K78" i="9"/>
  <c r="L78" i="9"/>
  <c r="M78" i="9"/>
  <c r="N78" i="9"/>
  <c r="O78" i="9"/>
  <c r="P78" i="9"/>
  <c r="Q78" i="9"/>
  <c r="R78" i="9"/>
  <c r="S78" i="9"/>
  <c r="T78" i="9"/>
  <c r="U78" i="9"/>
  <c r="V78" i="9"/>
  <c r="W78" i="9"/>
  <c r="X78" i="9"/>
  <c r="Y78" i="9"/>
  <c r="Z78" i="9"/>
  <c r="AA78" i="9"/>
  <c r="AB78" i="9"/>
  <c r="AC78" i="9"/>
  <c r="AD78" i="9"/>
  <c r="AE78" i="9"/>
  <c r="AF78" i="9"/>
  <c r="AG78" i="9"/>
  <c r="AH78" i="9"/>
  <c r="AI78" i="9"/>
  <c r="AJ78" i="9"/>
  <c r="AK78" i="9"/>
  <c r="AL78" i="9"/>
  <c r="AM78" i="9"/>
  <c r="AN78" i="9"/>
  <c r="AO78" i="9"/>
  <c r="AP78" i="9"/>
  <c r="AQ78" i="9"/>
  <c r="N80" i="9"/>
  <c r="S80" i="9"/>
  <c r="W80" i="9"/>
  <c r="X80" i="9"/>
  <c r="AB80" i="9"/>
  <c r="AE80" i="9"/>
  <c r="AF80" i="9"/>
  <c r="AP80" i="9"/>
  <c r="S81" i="9"/>
  <c r="W81" i="9"/>
  <c r="X81" i="9"/>
  <c r="AB81" i="9"/>
  <c r="AE81" i="9"/>
  <c r="AF81" i="9"/>
  <c r="AP81" i="9"/>
  <c r="N82" i="9"/>
  <c r="S82" i="9"/>
  <c r="W82" i="9"/>
  <c r="X82" i="9"/>
  <c r="AB82" i="9"/>
  <c r="AE82" i="9"/>
  <c r="AF82" i="9"/>
  <c r="AP82" i="9"/>
  <c r="N83" i="9"/>
  <c r="P83" i="9"/>
  <c r="S83" i="9"/>
  <c r="W83" i="9"/>
  <c r="X83" i="9"/>
  <c r="AB83" i="9"/>
  <c r="AE83" i="9"/>
  <c r="AF83" i="9"/>
  <c r="AG83" i="9"/>
  <c r="AP83" i="9"/>
  <c r="N84" i="9"/>
  <c r="Q84" i="9"/>
  <c r="S84" i="9"/>
  <c r="W84" i="9"/>
  <c r="X84" i="9"/>
  <c r="AB84" i="9"/>
  <c r="AE84" i="9"/>
  <c r="AF84" i="9"/>
  <c r="AP84" i="9"/>
  <c r="N85" i="9"/>
  <c r="S85" i="9"/>
  <c r="W85" i="9"/>
  <c r="X85" i="9"/>
  <c r="AB85" i="9"/>
  <c r="AE85" i="9"/>
  <c r="AF85" i="9"/>
  <c r="AP85" i="9"/>
  <c r="I86" i="9"/>
  <c r="J86" i="9"/>
  <c r="K86" i="9"/>
  <c r="L86" i="9"/>
  <c r="M86" i="9"/>
  <c r="N86" i="9"/>
  <c r="O86" i="9"/>
  <c r="P86" i="9"/>
  <c r="Q86" i="9"/>
  <c r="R86" i="9"/>
  <c r="S86" i="9"/>
  <c r="T86" i="9"/>
  <c r="U86" i="9"/>
  <c r="V86" i="9"/>
  <c r="W86" i="9"/>
  <c r="X86" i="9"/>
  <c r="Y86" i="9"/>
  <c r="Z86" i="9"/>
  <c r="AA86" i="9"/>
  <c r="AB86" i="9"/>
  <c r="AC86" i="9"/>
  <c r="AD86" i="9"/>
  <c r="AE86" i="9"/>
  <c r="AF86" i="9"/>
  <c r="AG86" i="9"/>
  <c r="AH86" i="9"/>
  <c r="AI86" i="9"/>
  <c r="AJ86" i="9"/>
  <c r="AK86" i="9"/>
  <c r="AL86" i="9"/>
  <c r="AM86" i="9"/>
  <c r="AN86" i="9"/>
  <c r="AO86" i="9"/>
  <c r="AP86" i="9"/>
  <c r="AQ86" i="9"/>
  <c r="I87" i="9"/>
  <c r="J87" i="9"/>
  <c r="K87" i="9"/>
  <c r="L87" i="9"/>
  <c r="M87" i="9"/>
  <c r="N87" i="9"/>
  <c r="O87" i="9"/>
  <c r="P87" i="9"/>
  <c r="Q87" i="9"/>
  <c r="R87" i="9"/>
  <c r="S87" i="9"/>
  <c r="T87" i="9"/>
  <c r="U87" i="9"/>
  <c r="V87" i="9"/>
  <c r="W87" i="9"/>
  <c r="X87" i="9"/>
  <c r="Y87" i="9"/>
  <c r="Z87" i="9"/>
  <c r="AA87" i="9"/>
  <c r="AB87" i="9"/>
  <c r="AC87" i="9"/>
  <c r="AD87" i="9"/>
  <c r="AE87" i="9"/>
  <c r="AF87" i="9"/>
  <c r="AG87" i="9"/>
  <c r="AH87" i="9"/>
  <c r="AI87" i="9"/>
  <c r="AJ87" i="9"/>
  <c r="AK87" i="9"/>
  <c r="AL87" i="9"/>
  <c r="AM87" i="9"/>
  <c r="AN87" i="9"/>
  <c r="AO87" i="9"/>
  <c r="AP87" i="9"/>
  <c r="AQ87" i="9"/>
  <c r="I88" i="9"/>
  <c r="J88" i="9"/>
  <c r="K88" i="9"/>
  <c r="L88" i="9"/>
  <c r="M88" i="9"/>
  <c r="N88" i="9"/>
  <c r="O88" i="9"/>
  <c r="P88" i="9"/>
  <c r="Q88" i="9"/>
  <c r="R88" i="9"/>
  <c r="S88" i="9"/>
  <c r="T88" i="9"/>
  <c r="U88" i="9"/>
  <c r="V88" i="9"/>
  <c r="W88" i="9"/>
  <c r="X88" i="9"/>
  <c r="Y88" i="9"/>
  <c r="Z88" i="9"/>
  <c r="AA88" i="9"/>
  <c r="AB88" i="9"/>
  <c r="AC88" i="9"/>
  <c r="AD88" i="9"/>
  <c r="AE88" i="9"/>
  <c r="AF88" i="9"/>
  <c r="AG88" i="9"/>
  <c r="AH88" i="9"/>
  <c r="AI88" i="9"/>
  <c r="AJ88" i="9"/>
  <c r="AK88" i="9"/>
  <c r="AL88" i="9"/>
  <c r="AM88" i="9"/>
  <c r="AN88" i="9"/>
  <c r="AO88" i="9"/>
  <c r="AP88" i="9"/>
  <c r="AQ88" i="9"/>
  <c r="AS88" i="9"/>
  <c r="S91" i="9"/>
  <c r="D13" i="8"/>
  <c r="D18" i="8"/>
  <c r="D23" i="8"/>
  <c r="D24" i="8"/>
  <c r="AH67" i="1"/>
  <c r="AN67" i="1"/>
  <c r="AN66" i="1"/>
  <c r="AN65" i="1"/>
  <c r="AM82" i="1"/>
  <c r="AM77" i="1"/>
  <c r="AN18" i="1"/>
  <c r="AN21" i="1"/>
  <c r="AN31" i="1"/>
  <c r="AN33" i="1"/>
  <c r="AN38" i="1"/>
  <c r="AN59" i="1"/>
  <c r="AN60" i="1"/>
  <c r="AN68" i="1"/>
  <c r="AH68" i="1"/>
  <c r="AK77" i="1"/>
  <c r="AH57" i="1"/>
  <c r="AG18" i="1"/>
  <c r="AH18" i="1"/>
  <c r="AE62" i="1"/>
  <c r="AH62" i="1"/>
  <c r="AN62" i="1"/>
  <c r="AE64" i="1"/>
  <c r="AH64" i="1"/>
  <c r="AN64" i="1"/>
  <c r="AE46" i="1"/>
  <c r="AH46" i="1"/>
  <c r="AN46" i="1"/>
  <c r="AN39" i="1"/>
  <c r="AH31" i="1"/>
  <c r="AN57" i="1"/>
  <c r="AL68" i="1"/>
  <c r="AK68" i="1"/>
  <c r="AJ68" i="1"/>
  <c r="AH54" i="1"/>
  <c r="AN54" i="1"/>
  <c r="AE54" i="1"/>
  <c r="AE43" i="1"/>
  <c r="AH43" i="1"/>
  <c r="AN43" i="1"/>
  <c r="AE44" i="1"/>
  <c r="AH44" i="1"/>
  <c r="AN44" i="1"/>
  <c r="AE45" i="1"/>
  <c r="AH45" i="1"/>
  <c r="AN45" i="1"/>
  <c r="AE27" i="1"/>
  <c r="AE28" i="1"/>
  <c r="AE29" i="1"/>
  <c r="AE30" i="1"/>
  <c r="AE31" i="1"/>
  <c r="AE33" i="1"/>
  <c r="AE26" i="1"/>
  <c r="AE19" i="1"/>
  <c r="AH19" i="1"/>
  <c r="AN19" i="1"/>
  <c r="AE21" i="1"/>
  <c r="AE22" i="1"/>
  <c r="AE23" i="1"/>
  <c r="AE24" i="1"/>
  <c r="AE25" i="1"/>
  <c r="AE17" i="1"/>
  <c r="AE18" i="1"/>
  <c r="AN9" i="1"/>
  <c r="AN16" i="1"/>
  <c r="AN32" i="1"/>
  <c r="AN35" i="1"/>
  <c r="AN47" i="1"/>
  <c r="AN50" i="1"/>
  <c r="AN56" i="1"/>
  <c r="AN58" i="1"/>
  <c r="AN61" i="1"/>
  <c r="AE8" i="1"/>
  <c r="AE10" i="1"/>
  <c r="AE11" i="1"/>
  <c r="AE12" i="1"/>
  <c r="AE13" i="1"/>
  <c r="AE14" i="1"/>
  <c r="AE15" i="1"/>
  <c r="AE34" i="1"/>
  <c r="AH34" i="1"/>
  <c r="AN34" i="1"/>
  <c r="AE36" i="1"/>
  <c r="AE37" i="1"/>
  <c r="AE38" i="1"/>
  <c r="AH38" i="1"/>
  <c r="AE39" i="1"/>
  <c r="AE40" i="1"/>
  <c r="AE41" i="1"/>
  <c r="AE42" i="1"/>
  <c r="AE48" i="1"/>
  <c r="AE49" i="1"/>
  <c r="AE50" i="1"/>
  <c r="AE51" i="1"/>
  <c r="AE52" i="1"/>
  <c r="AE53" i="1"/>
  <c r="AE55" i="1"/>
  <c r="AE56" i="1"/>
  <c r="AE57" i="1"/>
  <c r="AE59" i="1"/>
  <c r="AE60" i="1"/>
  <c r="AE63" i="1"/>
  <c r="AE65" i="1"/>
  <c r="AE66" i="1"/>
  <c r="AE67" i="1"/>
  <c r="AE7" i="1"/>
  <c r="G94" i="5"/>
  <c r="F94" i="5"/>
  <c r="E94" i="5"/>
  <c r="D94" i="5"/>
  <c r="AH55" i="1"/>
  <c r="AN55" i="1"/>
  <c r="AH42" i="1"/>
  <c r="AN42" i="1"/>
  <c r="AH41" i="1"/>
  <c r="AN41" i="1"/>
  <c r="AH40" i="1"/>
  <c r="AN40" i="1"/>
  <c r="Q279" i="1"/>
  <c r="Q280" i="1"/>
  <c r="Q281" i="1"/>
  <c r="Q282" i="1"/>
  <c r="Q283" i="1"/>
  <c r="AH65" i="1"/>
  <c r="AH8" i="1"/>
  <c r="AN8" i="1"/>
  <c r="AH10" i="1"/>
  <c r="AN10" i="1"/>
  <c r="AH11" i="1"/>
  <c r="AN11" i="1"/>
  <c r="AH12" i="1"/>
  <c r="AN12" i="1"/>
  <c r="AH13" i="1"/>
  <c r="AN13" i="1"/>
  <c r="AH14" i="1"/>
  <c r="AN14" i="1"/>
  <c r="AH15" i="1"/>
  <c r="AN15" i="1"/>
  <c r="AH17" i="1"/>
  <c r="AN17" i="1"/>
  <c r="AH21" i="1"/>
  <c r="AH22" i="1"/>
  <c r="AN22" i="1"/>
  <c r="AH23" i="1"/>
  <c r="AN23" i="1"/>
  <c r="AH24" i="1"/>
  <c r="AN24" i="1"/>
  <c r="AH25" i="1"/>
  <c r="AN25" i="1"/>
  <c r="AH26" i="1"/>
  <c r="AN26" i="1"/>
  <c r="AH27" i="1"/>
  <c r="AN27" i="1"/>
  <c r="AH28" i="1"/>
  <c r="AN28" i="1"/>
  <c r="AH29" i="1"/>
  <c r="AN29" i="1"/>
  <c r="AH30" i="1"/>
  <c r="AN30" i="1"/>
  <c r="AH33" i="1"/>
  <c r="AH36" i="1"/>
  <c r="AN36" i="1"/>
  <c r="AH37" i="1"/>
  <c r="AN37" i="1"/>
  <c r="AH48" i="1"/>
  <c r="AN48" i="1"/>
  <c r="AH49" i="1"/>
  <c r="AN49" i="1"/>
  <c r="AH51" i="1"/>
  <c r="AN51" i="1"/>
  <c r="AH52" i="1"/>
  <c r="AN52" i="1"/>
  <c r="AH53" i="1"/>
  <c r="AN53" i="1"/>
  <c r="AH59" i="1"/>
  <c r="AH60" i="1"/>
  <c r="AH63" i="1"/>
  <c r="AN63" i="1"/>
  <c r="AH66" i="1"/>
  <c r="AH7" i="1"/>
  <c r="AN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Shona Elaine Kirkwood</author>
  </authors>
  <commentList>
    <comment ref="B74" authorId="0" shapeId="0" xr:uid="{7BFA40B2-9268-4076-B533-C2FB7CFF28B1}">
      <text>
        <r>
          <rPr>
            <b/>
            <sz val="16"/>
            <color indexed="81"/>
            <rFont val="Tahoma"/>
            <family val="2"/>
          </rPr>
          <t>To be funded from the 500 K Cost Exptension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Shona Elaine Kirkwood</author>
  </authors>
  <commentList>
    <comment ref="B70" authorId="0" shapeId="0" xr:uid="{33727D86-98CB-404D-83DD-021FD66CDD91}">
      <text>
        <r>
          <rPr>
            <b/>
            <sz val="16"/>
            <color indexed="81"/>
            <rFont val="Tahoma"/>
            <family val="2"/>
          </rPr>
          <t>To be funded from the 500 K Cost Exptension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Shona Elaine Kirkwood</author>
  </authors>
  <commentList>
    <comment ref="B70" authorId="0" shapeId="0" xr:uid="{EFBFC43F-D515-4B56-81DA-7288AAE83240}">
      <text>
        <r>
          <rPr>
            <b/>
            <sz val="16"/>
            <color indexed="81"/>
            <rFont val="Tahoma"/>
            <family val="2"/>
          </rPr>
          <t>To be funded from the 500 K Cost Exptension</t>
        </r>
      </text>
    </comment>
  </commentList>
</comments>
</file>

<file path=xl/sharedStrings.xml><?xml version="1.0" encoding="utf-8"?>
<sst xmlns="http://schemas.openxmlformats.org/spreadsheetml/2006/main" count="1546" uniqueCount="646">
  <si>
    <t>No.</t>
  </si>
  <si>
    <t>EITI standard/ requirement</t>
  </si>
  <si>
    <t>Outputs</t>
  </si>
  <si>
    <t>Outcomes</t>
  </si>
  <si>
    <t>Responsible Department</t>
  </si>
  <si>
    <t>Timeline</t>
  </si>
  <si>
    <t>Deadline</t>
  </si>
  <si>
    <t>Indicators</t>
  </si>
  <si>
    <t>Source and means of verification</t>
  </si>
  <si>
    <t>Risk/Assumption</t>
  </si>
  <si>
    <t xml:space="preserve">Implementation structure </t>
  </si>
  <si>
    <t xml:space="preserve">Corrective Actions and recommendations, SOE workshop , Follow up actions </t>
  </si>
  <si>
    <t xml:space="preserve">1.1 Donor Consultation Group meeting </t>
  </si>
  <si>
    <t xml:space="preserve">2019 EITI standard awareness </t>
  </si>
  <si>
    <t xml:space="preserve">3.1 Translation </t>
  </si>
  <si>
    <t xml:space="preserve">Beneficial ownership </t>
  </si>
  <si>
    <t xml:space="preserve">4.1 BO taskforce meeting </t>
  </si>
  <si>
    <t xml:space="preserve">4.2 BO online form training for additional companies </t>
  </si>
  <si>
    <t xml:space="preserve">4.4 BO consultant support service </t>
  </si>
  <si>
    <t xml:space="preserve">4.6 BO verification </t>
  </si>
  <si>
    <t xml:space="preserve">4.7 BO awareness raising </t>
  </si>
  <si>
    <t xml:space="preserve">4.8 BO legal review ( Consultant) </t>
  </si>
  <si>
    <t xml:space="preserve">Website Maintainance </t>
  </si>
  <si>
    <t xml:space="preserve">5.1 MEITI website maintainance </t>
  </si>
  <si>
    <t xml:space="preserve">Press Conference for report </t>
  </si>
  <si>
    <t xml:space="preserve">SNU trip </t>
  </si>
  <si>
    <t xml:space="preserve">Assured financial sources for the sustainability of EITI implementation in Myanmar </t>
  </si>
  <si>
    <t>Achievement of satisfactory implementation of EITI activities and undertaking corrective actions as reommended by International Board from first validation 2018</t>
  </si>
  <si>
    <t xml:space="preserve">Improvement of EITI awareness and effective implementation of EITI in the sub-national level </t>
  </si>
  <si>
    <t xml:space="preserve">Increased awareness and improved publiic debate on Extractive Industry issues support to Extractive sector reform </t>
  </si>
  <si>
    <t xml:space="preserve">Increased awareness and improved public debate on Extractive Industry issues support to Extractive sector reform </t>
  </si>
  <si>
    <t xml:space="preserve">6.1 4th  report launch and public debate </t>
  </si>
  <si>
    <t xml:space="preserve">6.2 5th report launch and public debate </t>
  </si>
  <si>
    <t xml:space="preserve">7.2 Press conference for  5th report </t>
  </si>
  <si>
    <t xml:space="preserve">7.1 Press conference for 4th  report </t>
  </si>
  <si>
    <t xml:space="preserve">Implementation of  the BO workplan, initiation with the sector sepcific approach to BO disclosure and discussion to tackle the BO activities. Presidential notification was out due to the effort of BO task force in order to push the companies to discloe their BO related data. There was a chance to recieve relevant international training related with BO. </t>
  </si>
  <si>
    <t xml:space="preserve">NCS / DICA/ BO task force/ Working committtee  </t>
  </si>
  <si>
    <t xml:space="preserve">NCS/ DICA/ BO task force </t>
  </si>
  <si>
    <t>Receive the feedback from public those who interested in and point out the strength and weakness of BO data disclosure</t>
  </si>
  <si>
    <t xml:space="preserve">Opportunity comes to focal agency to learn about ongoing BO process </t>
  </si>
  <si>
    <t xml:space="preserve">4.5 BO website development for BO data </t>
  </si>
  <si>
    <t xml:space="preserve">Ensure the truthness of BO data </t>
  </si>
  <si>
    <t xml:space="preserve">Provide BO awareness rasing to additional companies in 2020, public and SNU trip </t>
  </si>
  <si>
    <t>Publice acquire the knowledge  the definition of BO and PEP in order to analyze the issue of corruption</t>
  </si>
  <si>
    <t xml:space="preserve">Introduction of beneficial ownership transparency through amendments to company laws or other dedicated legal instruments. </t>
  </si>
  <si>
    <t xml:space="preserve">Ensure the BO information including definitions are accessible to public </t>
  </si>
  <si>
    <t xml:space="preserve">Activities </t>
  </si>
  <si>
    <t xml:space="preserve">Meeting, workshop </t>
  </si>
  <si>
    <t xml:space="preserve">2.3 Contract transparency workshop </t>
  </si>
  <si>
    <t xml:space="preserve">To exchange the EITI information from local to international </t>
  </si>
  <si>
    <t>Keep to disucss the sustainablity of EITI process not to effect shortage</t>
  </si>
  <si>
    <t xml:space="preserve">To follow the EITI standard and Myanmar Sustainable Development Plan </t>
  </si>
  <si>
    <t>Conprehend the current practice of SOE</t>
  </si>
  <si>
    <t>Achievement of satisfactory implementation of EITI activities and undertaking corrective actions as reommended by International Board from first validation 2019</t>
  </si>
  <si>
    <t xml:space="preserve">To recover the first validation recommendation </t>
  </si>
  <si>
    <t xml:space="preserve">2.2 Second validation workshop /validation group meeting </t>
  </si>
  <si>
    <t>Follow-up actions could be discussed for 12 corrective actions</t>
  </si>
  <si>
    <t xml:space="preserve">To plan for disclosing contracts with a clear timeframe and to address the barriers to comprehensive disclosure. </t>
  </si>
  <si>
    <t>Gain the information about requirements and barriers to disclose the contracts</t>
  </si>
  <si>
    <t>Pave the way to government, CSO and companies to make easy to disclose the contract</t>
  </si>
  <si>
    <t xml:space="preserve">To help strengthen government's position to negiotiate contracts with companies. To encourage the MSGS to identify legal instruments: contracts, concessions, production-sharing agreements, licenses, leases, titles, permits, and other agreemetns. </t>
  </si>
  <si>
    <t>BO information is accessible to public</t>
  </si>
  <si>
    <t>To accept the questions and suggestions from organizations and public</t>
  </si>
  <si>
    <t>To make sure the information is widely accessible and distributed</t>
  </si>
  <si>
    <t xml:space="preserve">Create the space to work out a deal on EITI related challengaes , advantages and conflicts in order to make improve </t>
  </si>
  <si>
    <t>To continue implementing the remaining activities and to ensure BO reporting in the year 2020</t>
  </si>
  <si>
    <t>To make understand the BO template to fill out BO data</t>
  </si>
  <si>
    <t>To contribute the expense of focal agency when they coordinate with NCS travelling to Naypyitaw and Mandalay to give the training for companies and to meeting with government agencies</t>
  </si>
  <si>
    <t>To modify the website features including the additional information regarding the BO data</t>
  </si>
  <si>
    <t>To set up open data format for MEITI reports data</t>
  </si>
  <si>
    <t>To make a bridge between the coordination of national and subnational units in Extractive Industry</t>
  </si>
  <si>
    <t xml:space="preserve">Receive the feedback from public those who interested in and point out the strength and weakness of report and information gap </t>
  </si>
  <si>
    <t>Accepting the recommendations from public directly and repliying the public concern</t>
  </si>
  <si>
    <t>Increasing awareness on the need for transparency and improve pubic debate on Extractive issues support to the Extractive sector reform</t>
  </si>
  <si>
    <t>Knowing the requirement of amendments and a timeframe for working on BO related laws</t>
  </si>
  <si>
    <t>Companies came to understand to fill out their BO related data in template which will be disclosed in DICA website for public</t>
  </si>
  <si>
    <t>BO task force meeting is one of the supporters to review the national laws and regluations to assess whether the BO and Political Expeosed Person (PEP) definations developed by the MEITI align fully with the existing national legislation and developing amendments as necessary.Advices for BO activities to MEITI working committee meeting to have approval was came out</t>
  </si>
  <si>
    <t>Local people are able to access the EITI information in burmese. On the otherhand, the activities and inforamtion of MEITI will go to Internationl enviroment including EITI secretariat</t>
  </si>
  <si>
    <t>To discourse about the implementation structure of MEITI according to the notification forming the donor consultation group dated 5th November, 2019</t>
  </si>
  <si>
    <t xml:space="preserve">BO data disclosure is accessible for public </t>
  </si>
  <si>
    <t>Readiness for government when they came to position to host the BO data diclosure process</t>
  </si>
  <si>
    <t>Public can access these BO data in order to varify</t>
  </si>
  <si>
    <t>Translation could make EITI knowledge exchange between local and international</t>
  </si>
  <si>
    <t xml:space="preserve">To ensure the accuracy of ownership information </t>
  </si>
  <si>
    <t>Latest BO information are updatable</t>
  </si>
  <si>
    <t xml:space="preserve">To explain about beneficial ownership </t>
  </si>
  <si>
    <t xml:space="preserve">To make certain how legistation requires ownership disclosure </t>
  </si>
  <si>
    <t xml:space="preserve">To share report and IEC materials with public to make easy to understand the definition of BO and why it need to be disclosed </t>
  </si>
  <si>
    <t>To share report and IEC materials with public to make easy to understand the EITI related information</t>
  </si>
  <si>
    <t>EITI information is accessible to public</t>
  </si>
  <si>
    <t xml:space="preserve">Ensure the EITI information including definitions are accessible to public </t>
  </si>
  <si>
    <t>Government can address tax evasions, civil society can compare payments to governments with actual activities and production with specific sites and companies can benefit through managing communities' expectation by better udnerstanding how extractive companies operate</t>
  </si>
  <si>
    <t xml:space="preserve">Can be seen the payments of each projects in EITI report </t>
  </si>
  <si>
    <t xml:space="preserve">Mining Cadastre </t>
  </si>
  <si>
    <t xml:space="preserve">9.1 Mineral and Gemstone Casdastre Phase II consultant </t>
  </si>
  <si>
    <t xml:space="preserve">To pave the way to transparency in licening process of Mining sector ( Gems, Other minerals) </t>
  </si>
  <si>
    <t xml:space="preserve">Uniform process to issue license from departments under MONREC </t>
  </si>
  <si>
    <t xml:space="preserve">Reduce the overlapping of geological data, imporve transperncy in licensing process and attract the foreign investor </t>
  </si>
  <si>
    <t xml:space="preserve">MSG and sub-committee meeting </t>
  </si>
  <si>
    <t xml:space="preserve">10.1 MSG meeting </t>
  </si>
  <si>
    <t>To enable enviroment for sound policies on natural resource governance as a result of sustained dialogue among stakeholders</t>
  </si>
  <si>
    <t xml:space="preserve">10.2 Sub-committee meeting </t>
  </si>
  <si>
    <t xml:space="preserve">Luminous decision can make smooth the EITI process implemented by NCS, approval on the report  </t>
  </si>
  <si>
    <t xml:space="preserve">Luminous decision can make smooth the EITI process implemented by NCS, approval on the report, </t>
  </si>
  <si>
    <t>Improving the oversight  implementation of EITI process and developing ahead of implementing corretive actions and 2nd validation process</t>
  </si>
  <si>
    <t xml:space="preserve">Categories of activities </t>
  </si>
  <si>
    <t xml:space="preserve">Meeting </t>
  </si>
  <si>
    <t>EITI standard related document</t>
  </si>
  <si>
    <t xml:space="preserve">Training / workshop </t>
  </si>
  <si>
    <t xml:space="preserve">Press conference </t>
  </si>
  <si>
    <t xml:space="preserve">Consultant </t>
  </si>
  <si>
    <t>Web developer</t>
  </si>
  <si>
    <t>Workshop</t>
  </si>
  <si>
    <t>IEC materials</t>
  </si>
  <si>
    <t>Public Debate Workshop</t>
  </si>
  <si>
    <t>Press release, articles, report</t>
  </si>
  <si>
    <t>MOBD, Donor Consultation Group</t>
  </si>
  <si>
    <t>Leading Committee, Working CommitteeMSG, NCS, Governments Departments, MOBD</t>
  </si>
  <si>
    <t>Service Provider, NCS , MOBD</t>
  </si>
  <si>
    <t>Consultant</t>
  </si>
  <si>
    <t>Consultant, NCS, DICA</t>
  </si>
  <si>
    <t>Web Developer, NCS, DICA</t>
  </si>
  <si>
    <t>BO Task Force, NCS, DICA, MOBD</t>
  </si>
  <si>
    <t>MSG, NCS, MOBD, SNU</t>
  </si>
  <si>
    <t>MSG, NCS, MOBD</t>
  </si>
  <si>
    <t>MSG, NCS, MOBD, Sub-Region Government</t>
  </si>
  <si>
    <t xml:space="preserve">To encourage the integral part of government management for extractive sector beyond the EITI report </t>
  </si>
  <si>
    <t xml:space="preserve">Gain the improvement of government syestem to open data by default </t>
  </si>
  <si>
    <t xml:space="preserve">Implement the open data system integrating with national portal </t>
  </si>
  <si>
    <t>16th April - 2021</t>
  </si>
  <si>
    <t>1st January - 2021</t>
  </si>
  <si>
    <t>2019 - 2021</t>
  </si>
  <si>
    <t>31st Dec - 2020</t>
  </si>
  <si>
    <t>17th January -2020</t>
  </si>
  <si>
    <t xml:space="preserve">ASAP </t>
  </si>
  <si>
    <t>Meeting minutes, Proposal</t>
  </si>
  <si>
    <t xml:space="preserve">Workshop report, Pre-meeting minutes, Number of participants, Action plan </t>
  </si>
  <si>
    <t xml:space="preserve">Consultation, Meeting, Workshop, Action plan </t>
  </si>
  <si>
    <t xml:space="preserve">EITI standard document </t>
  </si>
  <si>
    <t xml:space="preserve">Number of documents </t>
  </si>
  <si>
    <t xml:space="preserve">Meeting minutes, Work plan, Action plan </t>
  </si>
  <si>
    <t xml:space="preserve">Number of trainings, Number of participants </t>
  </si>
  <si>
    <t xml:space="preserve">Number of media coverage, Number of articles  </t>
  </si>
  <si>
    <t>Consultant's Report, Completion of assigment</t>
  </si>
  <si>
    <t>BO template form in DICA Website</t>
  </si>
  <si>
    <t>Number of field visit</t>
  </si>
  <si>
    <t>Consultant Report, Recommendation , Action Plan</t>
  </si>
  <si>
    <t>Number of IEC, Coverage BO information to public</t>
  </si>
  <si>
    <t>EITI informamtion, Report, News, open data..etc</t>
  </si>
  <si>
    <t>Media Coverage (Number of media participant), Media briefing notes</t>
  </si>
  <si>
    <t>Meeting Minute, Workshop Report, SNU formation  notification  issued by sub region government</t>
  </si>
  <si>
    <t>Office and furniture establishment , TOR and contract for the consultant, Cadaster Design, Deliverables by TOR of  Phase II Consultant, Evaluation Report, Number of trainings, Installed equipments</t>
  </si>
  <si>
    <t>Meeting decisions, Meeting minutes approved, Number of participants</t>
  </si>
  <si>
    <t xml:space="preserve">It was not discussed in MSG meeting before the group was formed. </t>
  </si>
  <si>
    <t>MATA will provide ( TBC)</t>
  </si>
  <si>
    <t xml:space="preserve">3.5 million budget </t>
  </si>
  <si>
    <t xml:space="preserve">Development partners, Implementation structure </t>
  </si>
  <si>
    <t xml:space="preserve">Progress of SOE reform in relevant government departments </t>
  </si>
  <si>
    <t>Progress of corrective actions and EITI requirements, 2nd validation result</t>
  </si>
  <si>
    <t xml:space="preserve">Rate of contarct disclosure in extractive industry </t>
  </si>
  <si>
    <t xml:space="preserve">National web portal, Ministry website and Government report </t>
  </si>
  <si>
    <t>EITI reports</t>
  </si>
  <si>
    <t xml:space="preserve">Percentage of awareness on EITI standard by public and policy makers </t>
  </si>
  <si>
    <t xml:space="preserve">Implemenation of BO process under EITI standard timely </t>
  </si>
  <si>
    <t xml:space="preserve">Updatable </t>
  </si>
  <si>
    <t>Number of report launch and public debate,Nuber of participants, Public Debate report</t>
  </si>
  <si>
    <t xml:space="preserve">Number of report launch and public debate,Nuber of participants, Public Debate report </t>
  </si>
  <si>
    <t xml:space="preserve">Follow up actions on the discussion points in public debate </t>
  </si>
  <si>
    <t xml:space="preserve">Acknowledging about how media understand EITI matters and  bring these matter to public , the response of public on the presentation of media </t>
  </si>
  <si>
    <t>Improvemet of state and regional extractive sector governance</t>
  </si>
  <si>
    <t xml:space="preserve">Accuate  regulations to issue licnese </t>
  </si>
  <si>
    <t xml:space="preserve">Strengthen the extractive government overseeing the EITI implementation, sustainable development process of Myanmar </t>
  </si>
  <si>
    <t>2020 EITI WORK PLAN OF MYANMAR</t>
  </si>
  <si>
    <t xml:space="preserve">Objective 3 : To support implementation of sustainable development and natural resource governance reforms through the successful execution of EITI. </t>
  </si>
  <si>
    <t>Objective 2 : To create an enabling environment for the effective implementation of the EITI standard.</t>
  </si>
  <si>
    <t xml:space="preserve">Objective 1 : To acquire &amp; disseminate accurate, correct and up-to-date information regarding the management of natural resources and associated material revenues in a timely manner and to make the information publicly available. </t>
  </si>
  <si>
    <t>Objective per activity</t>
  </si>
  <si>
    <t xml:space="preserve">Main Objective </t>
  </si>
  <si>
    <t>Unit type</t>
  </si>
  <si>
    <t>No.of Unit</t>
  </si>
  <si>
    <t xml:space="preserve">Times </t>
  </si>
  <si>
    <t xml:space="preserve">Total </t>
  </si>
  <si>
    <t xml:space="preserve">2.6 Project level reporting workshop </t>
  </si>
  <si>
    <t xml:space="preserve">Feasibility Study </t>
  </si>
  <si>
    <t xml:space="preserve">2.5 Systematic disclosure and mainstreaming </t>
  </si>
  <si>
    <t>Times</t>
  </si>
  <si>
    <t xml:space="preserve">Corrective actions and other related document </t>
  </si>
  <si>
    <t xml:space="preserve">NRGI </t>
  </si>
  <si>
    <t xml:space="preserve">Meetings </t>
  </si>
  <si>
    <t>8.1 Kayah</t>
  </si>
  <si>
    <t xml:space="preserve">8.2 Mon </t>
  </si>
  <si>
    <t xml:space="preserve">8.3 Kayin </t>
  </si>
  <si>
    <t xml:space="preserve">Potential funding source </t>
  </si>
  <si>
    <t xml:space="preserve">1.2 Organizational Development Consultant </t>
  </si>
  <si>
    <t xml:space="preserve">HR, Operation and Office Administration </t>
  </si>
  <si>
    <t xml:space="preserve">11.2 NCS Operation Cost-Salaries </t>
  </si>
  <si>
    <t xml:space="preserve">11.3 NCS Opearation Cost </t>
  </si>
  <si>
    <t xml:space="preserve">11.4 NCS Operation Cost - Rent </t>
  </si>
  <si>
    <t xml:space="preserve">NCS Overhead ( Utilities, Travel, Communication service, Maintenance, Stationary, consumable material and other) </t>
  </si>
  <si>
    <t xml:space="preserve">NCS Staff Salaries </t>
  </si>
  <si>
    <t xml:space="preserve">NCS Office Rental </t>
  </si>
  <si>
    <t xml:space="preserve">MOBD Staff travel and office supplies </t>
  </si>
  <si>
    <t xml:space="preserve">Months </t>
  </si>
  <si>
    <t xml:space="preserve">Year </t>
  </si>
  <si>
    <t xml:space="preserve">11.5 Fund raising - Advocacy </t>
  </si>
  <si>
    <t xml:space="preserve">Contribution to EITI </t>
  </si>
  <si>
    <t xml:space="preserve">Forest Trend (5000) </t>
  </si>
  <si>
    <t xml:space="preserve">TOTAL </t>
  </si>
  <si>
    <t xml:space="preserve">Report launch, Public debate and Printing </t>
  </si>
  <si>
    <t>3.2 Printing and Publication</t>
  </si>
  <si>
    <t xml:space="preserve">5.2 Web-portal and infographic </t>
  </si>
  <si>
    <t xml:space="preserve">Web developer </t>
  </si>
  <si>
    <t>Development of beneficial ownershiop disclosure online system</t>
  </si>
  <si>
    <t xml:space="preserve">11.6 Capcity Development - Study Tour </t>
  </si>
  <si>
    <t xml:space="preserve">MSG study tour </t>
  </si>
  <si>
    <t xml:space="preserve">Independent Administrator and procure firm each year for the annual report ( including scoping study) </t>
  </si>
  <si>
    <t xml:space="preserve">It is the amount that government should contribute. </t>
  </si>
  <si>
    <t xml:space="preserve">11.1 MOBD Operational Cost </t>
  </si>
  <si>
    <t xml:space="preserve">4.9 BO report </t>
  </si>
  <si>
    <t xml:space="preserve">4.10 BO priniting </t>
  </si>
  <si>
    <t xml:space="preserve">4.11 BO ( Online disclosure form) </t>
  </si>
  <si>
    <t xml:space="preserve">4.3 BO Press conference </t>
  </si>
  <si>
    <t>5th report translation and printing</t>
  </si>
  <si>
    <t>Foresrty Report translation and printing</t>
  </si>
  <si>
    <t xml:space="preserve">4th report translation and printing </t>
  </si>
  <si>
    <t>6.7 Forestry Reort Launch</t>
  </si>
  <si>
    <t>Report Launch</t>
  </si>
  <si>
    <t>MSG members attending to SNU meeting</t>
  </si>
  <si>
    <t>Translated Report</t>
  </si>
  <si>
    <t>Forest Trend</t>
  </si>
  <si>
    <t>NRGI</t>
  </si>
  <si>
    <t>2.4 Systematic disclosure and mainstreaming (Consultant)</t>
  </si>
  <si>
    <t>MYANMAR EITI PROJECT PHASE II</t>
  </si>
  <si>
    <t>3-YEAR MASTER PLAN &amp; BUDGET (2017-2021)</t>
  </si>
  <si>
    <t>Strategic Goals: To promote transparency and accountability in the extractive industries and material revenue management of the Union of Myanmar. (in line with the National Economic Policy 1 and 2, laid down by the Republic of the Union of Myanmar)</t>
  </si>
  <si>
    <t>Activity No.</t>
  </si>
  <si>
    <t>Category of Activity</t>
  </si>
  <si>
    <t>Activities</t>
  </si>
  <si>
    <t>Implementing Agency</t>
  </si>
  <si>
    <t>Category of Expense</t>
  </si>
  <si>
    <t>KPI</t>
  </si>
  <si>
    <t>TOTAL BUDGET WB 3.5 MUSD Grant</t>
  </si>
  <si>
    <t>Q-1'18</t>
  </si>
  <si>
    <t>Q-2'18</t>
  </si>
  <si>
    <t>Q-3'18</t>
  </si>
  <si>
    <t>Q-4'2018</t>
  </si>
  <si>
    <t xml:space="preserve">2018 Total </t>
  </si>
  <si>
    <t>Q -1,19</t>
  </si>
  <si>
    <t>Q -2,19</t>
  </si>
  <si>
    <t>July &amp; August 2019</t>
  </si>
  <si>
    <t>Sept'19</t>
  </si>
  <si>
    <t>Q -3,19</t>
  </si>
  <si>
    <t>Oct'19</t>
  </si>
  <si>
    <t>Nov'19</t>
  </si>
  <si>
    <t>Dec'19</t>
  </si>
  <si>
    <t>Q -4,19</t>
  </si>
  <si>
    <t xml:space="preserve">2019 Total </t>
  </si>
  <si>
    <t>Jan'2020</t>
  </si>
  <si>
    <t>Feb'2020</t>
  </si>
  <si>
    <t>Budget for 3.5 Million USD Remainder
W&amp;G Sub-Committee
(13,14-2-2020)</t>
  </si>
  <si>
    <t>Budget for 3.5 Million USD Remainder</t>
  </si>
  <si>
    <t>Q4'19</t>
  </si>
  <si>
    <t>Q -1,20</t>
  </si>
  <si>
    <t>Q -2,20</t>
  </si>
  <si>
    <t>Q3'20</t>
  </si>
  <si>
    <t>Q4'20</t>
  </si>
  <si>
    <t>Q -1,21</t>
  </si>
  <si>
    <t>Up to 2021 March</t>
  </si>
  <si>
    <t>Actual</t>
  </si>
  <si>
    <t xml:space="preserve">Actual </t>
  </si>
  <si>
    <t>Balance</t>
  </si>
  <si>
    <t>Budget</t>
  </si>
  <si>
    <t xml:space="preserve"> Budget</t>
  </si>
  <si>
    <r>
      <t>Communication and Outreach</t>
    </r>
    <r>
      <rPr>
        <b/>
        <sz val="20"/>
        <color theme="0"/>
        <rFont val="Myanmar Text"/>
        <family val="2"/>
        <scheme val="minor"/>
      </rPr>
      <t xml:space="preserve"> </t>
    </r>
  </si>
  <si>
    <t>1.1.1</t>
  </si>
  <si>
    <t>MEITI Report Print</t>
  </si>
  <si>
    <t xml:space="preserve"> Report Print</t>
  </si>
  <si>
    <t xml:space="preserve">  </t>
  </si>
  <si>
    <t>Goods</t>
  </si>
  <si>
    <t>Printed copies of report (Executive Summary, Full Report, Myanmar Version, English Version)</t>
  </si>
  <si>
    <t xml:space="preserve">No. of copies of each version printed
No. of copies of each version distriubuted
</t>
  </si>
  <si>
    <t>1.1.2</t>
  </si>
  <si>
    <t>Forestry Report Printing</t>
  </si>
  <si>
    <t>NCS Communication, Communication and Outreach Sub-Committee</t>
  </si>
  <si>
    <t>Printed copy of Forestry Report (Myanmar and English version)</t>
  </si>
  <si>
    <t>1.1.3</t>
  </si>
  <si>
    <r>
      <t>MEITI Report Launch</t>
    </r>
    <r>
      <rPr>
        <b/>
        <sz val="20"/>
        <color theme="9" tint="-0.249977111117893"/>
        <rFont val="Myanmar Text"/>
        <family val="2"/>
        <scheme val="minor"/>
      </rPr>
      <t xml:space="preserve"> Events etc</t>
    </r>
  </si>
  <si>
    <t>Media including TV, Radio,  events and activities includign press release</t>
  </si>
  <si>
    <t>Meeting and Workshop</t>
  </si>
  <si>
    <t>Increased knowledge of EITI and extractives in Myanmar</t>
  </si>
  <si>
    <r>
      <t xml:space="preserve">No. of events, TV /Radio Programs/ Media Articles
No. and details of participants and audiences (gender, geographical location, </t>
    </r>
    <r>
      <rPr>
        <i/>
        <sz val="20"/>
        <color rgb="FF0000FF"/>
        <rFont val="Myanmar Text"/>
        <family val="2"/>
        <scheme val="minor"/>
      </rPr>
      <t>ethnicity</t>
    </r>
    <r>
      <rPr>
        <sz val="20"/>
        <color rgb="FF0000FF"/>
        <rFont val="Myanmar Text"/>
        <family val="2"/>
        <scheme val="minor"/>
      </rPr>
      <t xml:space="preserve">  etc)
Event Reports / quaility (accuracy of media reports)</t>
    </r>
  </si>
  <si>
    <t>1.1.4</t>
  </si>
  <si>
    <t>Forestry Report Launch Events etc</t>
  </si>
  <si>
    <t>Increased knowledge of Forestry  extractives in Myanmar</t>
  </si>
  <si>
    <t>1.1.5</t>
  </si>
  <si>
    <t>Public Debates</t>
  </si>
  <si>
    <t>Public Gathering/Debate and Road Show</t>
  </si>
  <si>
    <t>No. of public gatherings, debates, roadshow events
No. and details of participants
Event Feedback and Reports</t>
  </si>
  <si>
    <t>1.1.6</t>
  </si>
  <si>
    <t>Prints and Publication</t>
  </si>
  <si>
    <t>Other prints and IEC material development</t>
  </si>
  <si>
    <t>IEC Materials</t>
  </si>
  <si>
    <t>No and type of materials produced
No and type of materails distributed/ viewed online
Feedback on materials (?)</t>
  </si>
  <si>
    <t>1.1.7a.</t>
  </si>
  <si>
    <t xml:space="preserve">Website </t>
  </si>
  <si>
    <t>Redesign, regular update and maintenance MEITI Website &amp; on-line library</t>
  </si>
  <si>
    <t>Non Consulting Services</t>
  </si>
  <si>
    <t>Website</t>
  </si>
  <si>
    <t>No. of hits on website
Feedback Survey
Validation Comments</t>
  </si>
  <si>
    <t>1.1.7b.</t>
  </si>
  <si>
    <t>Video Production and Broadcasting</t>
  </si>
  <si>
    <t>Videos</t>
  </si>
  <si>
    <t>Number of views, boradcasts, feedback</t>
  </si>
  <si>
    <t>1.1.8</t>
  </si>
  <si>
    <t>Web-portal and Infographic</t>
  </si>
  <si>
    <t>Open data, Inforgraphic and updated data</t>
  </si>
  <si>
    <t>Non Consulting/ Consulting</t>
  </si>
  <si>
    <t>Infographics and open data pages</t>
  </si>
  <si>
    <t>No. of users
Feedback and Validation Comments</t>
  </si>
  <si>
    <t>1.1.10</t>
  </si>
  <si>
    <t>National EITI Conference</t>
  </si>
  <si>
    <t xml:space="preserve">Increased understanding of MEITI
Improved multistakeholder participation
Documented assessment of progress, 
Input for planning
</t>
  </si>
  <si>
    <t>Event Report
No. and details of participants
Progress assessment and Planning input
Feedback from participants</t>
  </si>
  <si>
    <t>Sub Total 1</t>
  </si>
  <si>
    <t>Objective 2: To create an enabling environment for the effective implementation of the EITI Standard</t>
  </si>
  <si>
    <t>HR, Operation and Office Administration</t>
  </si>
  <si>
    <t>2.1.1</t>
  </si>
  <si>
    <t xml:space="preserve">MOBD Operational Cost </t>
  </si>
  <si>
    <t>MOBD Staff travel and Office Supplies</t>
  </si>
  <si>
    <t>MOBD</t>
  </si>
  <si>
    <t>Operating Cost/ Goods</t>
  </si>
  <si>
    <t>Project Financial Management, Procurement and Grant Compliance</t>
  </si>
  <si>
    <t>FM reports to MSG and Donors, 
Procurement Plans and Documentation
OAG Audit
LC and WC Support to EITI process</t>
  </si>
  <si>
    <t>2.1.2</t>
  </si>
  <si>
    <t>NCS Operation Cost -Salaries</t>
  </si>
  <si>
    <t>NCS Staff Salaries</t>
  </si>
  <si>
    <t>NCS</t>
  </si>
  <si>
    <t>Operating Cost</t>
  </si>
  <si>
    <t>Successful Implementation of Work Plan activities</t>
  </si>
  <si>
    <t>APR
EITI Reconciliation Reports
MSG and Subcommittee Minutes
Staff Performance Evaluations</t>
  </si>
  <si>
    <t>2.1.3a</t>
  </si>
  <si>
    <t xml:space="preserve">NCS Operation Cost </t>
  </si>
  <si>
    <t xml:space="preserve">NCS Overheads ( Utilities, Travel, Communication service, Maintenance, Stationary, consumable material and other miscellaneous) </t>
  </si>
  <si>
    <t>APR
EITI Reconciliation Reports
MSG and Subcommittee Minutes</t>
  </si>
  <si>
    <t>2.1.3b.</t>
  </si>
  <si>
    <t>Consultant support service</t>
  </si>
  <si>
    <t>Additional Travel and Accommodation costs to support consultants (BO, Cadastre etc)</t>
  </si>
  <si>
    <t>Facilitation of Consultants' Work</t>
  </si>
  <si>
    <t>Consultant Deliverables</t>
  </si>
  <si>
    <t>2.1.4</t>
  </si>
  <si>
    <t>NCS Operation Cost - Rent</t>
  </si>
  <si>
    <t>NCS Office Rental</t>
  </si>
  <si>
    <t>Office Space</t>
  </si>
  <si>
    <t>Office Rental Contract and Payment Reciept</t>
  </si>
  <si>
    <t>2.1.5</t>
  </si>
  <si>
    <t>Office Set Up Cost</t>
  </si>
  <si>
    <t>Equipment and Furniture</t>
  </si>
  <si>
    <t>NCS, MOBD</t>
  </si>
  <si>
    <t>Furniture and Equipment</t>
  </si>
  <si>
    <t xml:space="preserve">Purchase Receipts
Procurement Report Inventory </t>
  </si>
  <si>
    <t>2.1.6</t>
  </si>
  <si>
    <t xml:space="preserve">Fund raising- Advocacy </t>
  </si>
  <si>
    <t>Secure increased government contribution to EITI</t>
  </si>
  <si>
    <t>MOBD, MSG</t>
  </si>
  <si>
    <t>Non Consulting</t>
  </si>
  <si>
    <t>2.1.7</t>
  </si>
  <si>
    <t>MSG Meeting</t>
  </si>
  <si>
    <t>Workshop and Meeting</t>
  </si>
  <si>
    <t>MSG Meeting Decisions and Outputs (approved TOR, reports etc)</t>
  </si>
  <si>
    <t>Meeting Minutes Approved (Myanmar and English)
Minutes posted on MEITI Website
Funds Raised</t>
  </si>
  <si>
    <t>2.1.8</t>
  </si>
  <si>
    <t>Sub-committee Meeting</t>
  </si>
  <si>
    <t>MSG Sub-Committee Meetings</t>
  </si>
  <si>
    <t>Subcommittee Meeting Recommendations and Outputs (draft TOR, reports etc)</t>
  </si>
  <si>
    <t>Meeting Minutes Approved (Myanmar and English)Minutes posted on MEITI Website
Funds Raised</t>
  </si>
  <si>
    <t>2.1.8 a</t>
  </si>
  <si>
    <t>Work Plan Review Workshop</t>
  </si>
  <si>
    <t>2.1.8 b</t>
  </si>
  <si>
    <t>EITI Awareness Meeting</t>
  </si>
  <si>
    <t>2.1.9</t>
  </si>
  <si>
    <t>Translation Fee for related documents</t>
  </si>
  <si>
    <t>Sub Total 2.1</t>
  </si>
  <si>
    <t>Workplan and Governance (APR, M&amp;E- Review workshops)</t>
  </si>
  <si>
    <t xml:space="preserve"> </t>
  </si>
  <si>
    <t>2.2.1</t>
  </si>
  <si>
    <t>M&amp;E Workshop</t>
  </si>
  <si>
    <t>Review of annual progress (workplan), produce annual activity/progress report.</t>
  </si>
  <si>
    <t>NCS, MSG</t>
  </si>
  <si>
    <t>2.2.4</t>
  </si>
  <si>
    <t>Implementation of EITI report Recommendations Workshop</t>
  </si>
  <si>
    <t>Workshop to develop the workplan for implementation of EITI recommendations</t>
  </si>
  <si>
    <t>MOBD, NCS, Subcommittee, MSG</t>
  </si>
  <si>
    <t>Workshop and meeting</t>
  </si>
  <si>
    <t>Systematic assessment of EITI Recommendations from reports and planning for their implementation</t>
  </si>
  <si>
    <t>SMART Work Plan for implementation Recommendations</t>
  </si>
  <si>
    <t xml:space="preserve">2.2.5 </t>
  </si>
  <si>
    <t xml:space="preserve">MSG Governance Review Workshop </t>
  </si>
  <si>
    <t>MSG Reform and Selection</t>
  </si>
  <si>
    <t xml:space="preserve">NCS, MSG, Government Agencies </t>
  </si>
  <si>
    <t>Workshop and meeting/ Consultancy/ Goods</t>
  </si>
  <si>
    <t>Outputs according to the agreed work plan</t>
  </si>
  <si>
    <t>Indicators according to the agreed work plan</t>
  </si>
  <si>
    <t>2.2.5 a</t>
  </si>
  <si>
    <t>EITI Restructure Review</t>
  </si>
  <si>
    <t xml:space="preserve">Implementation of EITI restructuring </t>
  </si>
  <si>
    <t xml:space="preserve">MOBD, NCS, Subcommittee, MSG, Government Agencies </t>
  </si>
  <si>
    <t>2.2.6</t>
  </si>
  <si>
    <t>SOE Reform Workshop</t>
  </si>
  <si>
    <t>SOE workshop, Pre-meeting  on SOE situations and future reform plans for extractor sector</t>
  </si>
  <si>
    <t>Increased awareness of MEITI Report recommendtions on SOE Reform
Documented multi-stakeholder review of current SOE reform plans, achievements and challenges
Plans for ongoing reforms and their coordination with MEITI</t>
  </si>
  <si>
    <t>Workshop Report incl participation
Documentation of assessments, decisions and plans</t>
  </si>
  <si>
    <t>2.2.7</t>
  </si>
  <si>
    <t xml:space="preserve">Validation </t>
  </si>
  <si>
    <t xml:space="preserve">Data Collection and Stakeholder Consultation workshops for initial assessment /Validation Group Meeting and Consultation Meeting for 12 Correction Action </t>
  </si>
  <si>
    <t>Multistakeholder assessment and documentation of MEITI process
Capacity Building for MEITI Stakeholders</t>
  </si>
  <si>
    <t>Validation Report</t>
  </si>
  <si>
    <t>2.2.8</t>
  </si>
  <si>
    <t>Contribution to International Secretariat</t>
  </si>
  <si>
    <t>MOBD, NCS</t>
  </si>
  <si>
    <t>Payment made</t>
  </si>
  <si>
    <t>Money transfer receipt, Bank Transaction Sheet, letter of acknowledgement from EITI</t>
  </si>
  <si>
    <t>Sub Total 2.2</t>
  </si>
  <si>
    <t>Sub-National Coordination Unit (Formation and Functioning)</t>
  </si>
  <si>
    <t>2.3.1</t>
  </si>
  <si>
    <t>SNU Formation and Coordination</t>
  </si>
  <si>
    <t xml:space="preserve">Establishing Sub-National Coordination Units at State and Division level and further coordination with Union EITI. </t>
  </si>
  <si>
    <t>NCS, MSG, Communication Officer</t>
  </si>
  <si>
    <t xml:space="preserve">SNUs Formed (Membership, TOR)
Meeting Records / Minutes/ Reports
</t>
  </si>
  <si>
    <t>No. of SNUs Formed
SNU Membership details (inclusivity, participation, geographic coverage)
SNU TORs and Work Plans</t>
  </si>
  <si>
    <t>2.3.2</t>
  </si>
  <si>
    <t>Coordination between MSG and SNUs</t>
  </si>
  <si>
    <t xml:space="preserve">Review and evaluate reports from SNUs and determine coordinate consistent response to issues raised. MSG to establish internal monitoring and evaluation mechanism on workplan implementation?? </t>
  </si>
  <si>
    <t>NCS, MSG, SNU</t>
  </si>
  <si>
    <t>???</t>
  </si>
  <si>
    <t>Sub Total 2.3</t>
  </si>
  <si>
    <t>Sub Total 2</t>
  </si>
  <si>
    <t xml:space="preserve">Objective 3:To support implementation of sustainable development and natural resource governance reforms through the successful execution of EITI. </t>
  </si>
  <si>
    <t>Technical and Reporting (IA main report, Forestry, BO, Mining Cadaster, SOE, Review of Artisenal Mining, Fasibility studies, Sub-national study, Implementation of recommendations, &amp; other technical studies)</t>
  </si>
  <si>
    <t>3.1.1</t>
  </si>
  <si>
    <t>Legislative institutionalization</t>
  </si>
  <si>
    <t>Research to recommend legal options to EITI institunalization. Developing a draft EITI Law or amemdments to Sectoral Laws</t>
  </si>
  <si>
    <t>NCS, Subcommittee, MSG</t>
  </si>
  <si>
    <t>Consultancy</t>
  </si>
  <si>
    <t>Research Report and Recommendations</t>
  </si>
  <si>
    <t>Research Report and Recommendations accpeted  by MSG</t>
  </si>
  <si>
    <t>3.1.3</t>
  </si>
  <si>
    <t>EITI Reconciliation Report 2 &amp;3</t>
  </si>
  <si>
    <t xml:space="preserve">3.1.3 </t>
  </si>
  <si>
    <t>EITI Reconciliation Report 4</t>
  </si>
  <si>
    <t xml:space="preserve">EITI Reconciliation Report 5 </t>
  </si>
  <si>
    <r>
      <t>Independent Administrator and procure firm each year for the annual repor</t>
    </r>
    <r>
      <rPr>
        <b/>
        <sz val="20"/>
        <rFont val="Myanmar Text"/>
        <family val="2"/>
        <scheme val="minor"/>
      </rPr>
      <t xml:space="preserve">t (including scoping study) </t>
    </r>
  </si>
  <si>
    <t>MOBD, NCS, IA</t>
  </si>
  <si>
    <t>Consulting</t>
  </si>
  <si>
    <t>EITI Reconciliation Reports</t>
  </si>
  <si>
    <t xml:space="preserve">Reports produced by deadline
Reports approved by MSG
Validation results on EITI Standard 2-6
</t>
  </si>
  <si>
    <t>EITI Reconciliation Report 6</t>
  </si>
  <si>
    <t>3.1.3 b</t>
  </si>
  <si>
    <t>EITI Reconciliation Report Workshops</t>
  </si>
  <si>
    <t>Report reconciliation and Reporting entities workshops-Main IA</t>
  </si>
  <si>
    <t>3.1.3 c</t>
  </si>
  <si>
    <t>EITI Report Template Training</t>
  </si>
  <si>
    <t>Template Training with IA and respective Agency</t>
  </si>
  <si>
    <t>3.1.4 a</t>
  </si>
  <si>
    <t>Forestry Reconciliation Report-1</t>
  </si>
  <si>
    <t>IA - First report</t>
  </si>
  <si>
    <t xml:space="preserve">Forestry Reconconciliation Report(s) </t>
  </si>
  <si>
    <t>Report(s) approved by MSG</t>
  </si>
  <si>
    <t>3.1.4 b</t>
  </si>
  <si>
    <t>Forestry Reconciliation Report-2</t>
  </si>
  <si>
    <t>3.1.4 c</t>
  </si>
  <si>
    <t>Forestry Reconciliation Report Workshops</t>
  </si>
  <si>
    <t>Reporting entities workshops-Forestry IA</t>
  </si>
  <si>
    <t>3.1.4 d</t>
  </si>
  <si>
    <t xml:space="preserve">Hydro Reconcillation Report </t>
  </si>
  <si>
    <t>Hydro Reconcillation Report Meetings</t>
  </si>
  <si>
    <t>3.1.5</t>
  </si>
  <si>
    <t>Mineral and Gemstone Cadaster Phase 1 Consultant</t>
  </si>
  <si>
    <t xml:space="preserve">Design Phase </t>
  </si>
  <si>
    <t>MONREC, NCS, Subcommitte, MSG</t>
  </si>
  <si>
    <t>Preliminary, Intermediate and Final Report
Mineral Cadastre Conceptual Design
TOR for Phase 2</t>
  </si>
  <si>
    <t>Documents received and approved by MONREC and MSG</t>
  </si>
  <si>
    <t>3.1.6 a</t>
  </si>
  <si>
    <t>Mineral and Gemstone Pre-Cadastre Consultant</t>
  </si>
  <si>
    <t>Pre-cadaster Working Group Consultant</t>
  </si>
  <si>
    <t>Training and on the job support
Precadastre developed</t>
  </si>
  <si>
    <t>No. of staff trained
No. of Training Hours completed
Completeness of Precadastre</t>
  </si>
  <si>
    <t>3.1.6 b</t>
  </si>
  <si>
    <t>Office Set Up Equipment for Pre Cadaster Working</t>
  </si>
  <si>
    <t>3.1.6 c</t>
  </si>
  <si>
    <t>Office Set up-Furniture for Pre-Cadastre working group</t>
  </si>
  <si>
    <t>3.1.6 d</t>
  </si>
  <si>
    <t>ARC,GIS Software</t>
  </si>
  <si>
    <t>3.1.6 e</t>
  </si>
  <si>
    <t>Maps, Stationery</t>
  </si>
  <si>
    <t>Gemstone Mapping Consultant</t>
  </si>
  <si>
    <t>3.1.7</t>
  </si>
  <si>
    <t>Mineral and Gemstone Cadaster Phase 2 Consultant</t>
  </si>
  <si>
    <t xml:space="preserve">Development and installation of cadaster. </t>
  </si>
  <si>
    <t>Deliverables outlined in TOR for Phase 2</t>
  </si>
  <si>
    <t>Indicators according to deliverables from TOR Phase 2</t>
  </si>
  <si>
    <t>3.1.8</t>
  </si>
  <si>
    <t>Mineral and Gemstone Cadaster Equipment</t>
  </si>
  <si>
    <t>Purchase of IT equipment and furniture</t>
  </si>
  <si>
    <t>MONREC, NCS, MOBD</t>
  </si>
  <si>
    <t>Procurement report
Purchase Receipt
Inventory</t>
  </si>
  <si>
    <t>3.1.11a.</t>
  </si>
  <si>
    <t>Beneficial Ownership (ASI)</t>
  </si>
  <si>
    <t>Development of Workplan, Communicaiton Plan, Capacity Building Plan and Pilot Project</t>
  </si>
  <si>
    <t>BO Work Plan, BO Communications Plan, BO Capacity Development Plan, BO Pilot Project</t>
  </si>
  <si>
    <t>Deliverables approved by MSG</t>
  </si>
  <si>
    <t>3.1.11b.</t>
  </si>
  <si>
    <t>Beneficial Ownership (Matheiu)</t>
  </si>
  <si>
    <t xml:space="preserve">BO Template </t>
  </si>
  <si>
    <t>3.1.12</t>
  </si>
  <si>
    <t>Beneficial Ownership Meetings</t>
  </si>
  <si>
    <t>BO workshops and Taskforce Meetings/ Template Training/ BO Press Condference</t>
  </si>
  <si>
    <t>NCS, Task Force</t>
  </si>
  <si>
    <t>No. of workshop/ meeting</t>
  </si>
  <si>
    <t>3.1.12 a</t>
  </si>
  <si>
    <t>Beneficial Ownership</t>
  </si>
  <si>
    <t>3.1.12 c</t>
  </si>
  <si>
    <t xml:space="preserve"> Beneficial Ownership  (Online Disclosure Form)</t>
  </si>
  <si>
    <t>Development of Beneficial Ownership discloure  Online system</t>
  </si>
  <si>
    <t>DICA</t>
  </si>
  <si>
    <t>3.1.14a.</t>
  </si>
  <si>
    <t>Systematic Disclosure Feasibility Study</t>
  </si>
  <si>
    <t>3.1.4b</t>
  </si>
  <si>
    <t>Systematic Disclosure Consultancy</t>
  </si>
  <si>
    <t>Sub Total 3.1</t>
  </si>
  <si>
    <t>Training and Capacity Development (Capacity Development for 3 MSG entities, MOBD, NCS &amp; SNU capacity building)</t>
  </si>
  <si>
    <t>3.2.1 a</t>
  </si>
  <si>
    <t>Capacity Development</t>
  </si>
  <si>
    <t>Implement Capacicty Development Plan (MSG, Private Sector, Governemnt, CSO, Media, EAOs, MOBD, NCS, Parliament and others)</t>
  </si>
  <si>
    <t>Outputs defined in capacity development plan</t>
  </si>
  <si>
    <t>Indicators defined in Capacity Development Plan
Incld No. of participants, participant criteria (gender, stakeholder group, geographic location etc)
Participant feedback</t>
  </si>
  <si>
    <t>3.2.1 b</t>
  </si>
  <si>
    <t>Capacity Development for Awareness</t>
  </si>
  <si>
    <t>EITI Standard Awareness</t>
  </si>
  <si>
    <t>3.2.2</t>
  </si>
  <si>
    <t xml:space="preserve">Corrective Action Planning and Workshop </t>
  </si>
  <si>
    <t>Corrective Actions and recommendation, SOE workshop, follow up action</t>
  </si>
  <si>
    <t>3.2.3</t>
  </si>
  <si>
    <t>Capacity Development- Study Tour</t>
  </si>
  <si>
    <t xml:space="preserve">MSG Study Tours </t>
  </si>
  <si>
    <t>MSG</t>
  </si>
  <si>
    <t>Outputs defined in Study Tour Concept Note or Plan</t>
  </si>
  <si>
    <t>Indicators from concpet note or plan
Incld No. of participants, participant criteria (gender, stakeholder group, geographic location etc)
Participant feedback and cascading activities</t>
  </si>
  <si>
    <t>3.2.4</t>
  </si>
  <si>
    <t>Capacity Development- Int'l EITI events</t>
  </si>
  <si>
    <t>EITI Global/ Regional Conferences and Board Meetings</t>
  </si>
  <si>
    <t>EITI Internnational Events attended</t>
  </si>
  <si>
    <t>No. of events attended, No. of participants, cascade activities</t>
  </si>
  <si>
    <t>3.2.5</t>
  </si>
  <si>
    <t>Financial Management Training (MOBD/NCS)</t>
  </si>
  <si>
    <t>MOBD Financial management capacity development</t>
  </si>
  <si>
    <t xml:space="preserve">Consulting </t>
  </si>
  <si>
    <t xml:space="preserve">Training and on the job support
</t>
  </si>
  <si>
    <t>No. of MOBD staff trained</t>
  </si>
  <si>
    <t>Sub Total 3.2</t>
  </si>
  <si>
    <t>Sub Total 3</t>
  </si>
  <si>
    <t>GRAND TOTAL</t>
  </si>
  <si>
    <t>Grand Total</t>
  </si>
  <si>
    <t>3-YEAR MASTER PLAN &amp; BUDGET (2017-2019)</t>
  </si>
  <si>
    <t>Nathan Fund</t>
  </si>
  <si>
    <t>NRGI Fund</t>
  </si>
  <si>
    <t>Forest Trend Fund</t>
  </si>
  <si>
    <t>MEITI Report Print , 4th Report</t>
  </si>
  <si>
    <t xml:space="preserve"> Report Print and Translation </t>
  </si>
  <si>
    <t>MEITI Report Print , 5th Report</t>
  </si>
  <si>
    <t>MEITI Report Launch Events for 4th Report</t>
  </si>
  <si>
    <t xml:space="preserve">MEITI Report Launch Public and Debate Events for 5th Report </t>
  </si>
  <si>
    <t>5th MEITI Report Press conference</t>
  </si>
  <si>
    <t>MOBD Operational Cost (6760) is MOBD-2</t>
  </si>
  <si>
    <t>Kayin State</t>
  </si>
  <si>
    <t>Kayah and Mon State</t>
  </si>
  <si>
    <t xml:space="preserve">Independent Administrator and procure firm each year for the annual report (including scoping study) </t>
  </si>
  <si>
    <t>BO Legal Review</t>
  </si>
  <si>
    <t>Hire Consultant for legal analysis in BO</t>
  </si>
  <si>
    <t xml:space="preserve">Hire Consultant to conduct Systematic Disclosure  and mainsterming </t>
  </si>
  <si>
    <t xml:space="preserve">Systematic Disclosure Consultaing </t>
  </si>
  <si>
    <t>Workshop to develop Systematic Disclosure and mainstreaming</t>
  </si>
  <si>
    <t xml:space="preserve">Contract Transparency </t>
  </si>
  <si>
    <t>Workshop and development for contract transparency workplan</t>
  </si>
  <si>
    <t>Project level Reporting</t>
  </si>
  <si>
    <t>Workshop on Project Level Reporting</t>
  </si>
  <si>
    <t xml:space="preserve"> TOTAL</t>
  </si>
  <si>
    <t>Current Budget and Funding Soruce</t>
  </si>
  <si>
    <t>WB(MDTF)</t>
  </si>
  <si>
    <t>Nathan Associate</t>
  </si>
  <si>
    <t>Amount (per each)</t>
  </si>
  <si>
    <t>Others</t>
  </si>
  <si>
    <t xml:space="preserve"> Amount need to receive</t>
  </si>
  <si>
    <t>2.1 SOE workshop (Workshop and Pre Meeting)</t>
  </si>
  <si>
    <t xml:space="preserve">Other IEC Materials Printing </t>
  </si>
  <si>
    <t xml:space="preserve">Printing </t>
  </si>
  <si>
    <t xml:space="preserve">6.3 4th MEITI Report Print </t>
  </si>
  <si>
    <t>6.5 5th Report Print and Translation</t>
  </si>
  <si>
    <t>6.4 5th  EITI Reconciliation report and 3rd,4th Forestry Report</t>
  </si>
  <si>
    <t>6.6 3rd and 4th Forestry Report Print and Translation</t>
  </si>
  <si>
    <t>6.8 5th MEITI Report Analysis Workshop</t>
  </si>
  <si>
    <t>6.9 3rd , 4th Forestry Analysis Workshop</t>
  </si>
  <si>
    <t>6.10  6th and 7th MEITI Reconcillation Report</t>
  </si>
  <si>
    <t>8.5 Coordination between MSG and SNU</t>
  </si>
  <si>
    <t>8.4  Kayah,Ayearwaddy, Chin , Yangon, Bago SNU formation</t>
  </si>
  <si>
    <t>Mar'2020</t>
  </si>
  <si>
    <t>Q -1,2020</t>
  </si>
  <si>
    <t>Apr'2020</t>
  </si>
  <si>
    <t>6.11 Template Training and Reconcillation Meeting for 6  Report, 6 and 7 Report</t>
  </si>
  <si>
    <t>Proposed Budget for 3.5  USD 
W&amp;G Sub-Committee
(2-6-2020)</t>
  </si>
  <si>
    <t>Printing 2000, Translation 5100</t>
  </si>
  <si>
    <t>Will remail 1761 after paid printing cost 2400</t>
  </si>
  <si>
    <t>To add ammount  after confirmed communication</t>
  </si>
  <si>
    <t>Actual Cost for May  295</t>
  </si>
  <si>
    <t>Actual Cost up to May 15034</t>
  </si>
  <si>
    <t>Reduce  as no activity</t>
  </si>
  <si>
    <t>Implementation  Cost</t>
  </si>
  <si>
    <t xml:space="preserve">4th Report Printing and Translation </t>
  </si>
  <si>
    <t>Communication and Outreach</t>
  </si>
  <si>
    <t>4th Report Launch</t>
  </si>
  <si>
    <t>2019 EITI Standard Translation and Printing</t>
  </si>
  <si>
    <t>MEITI Website Maintainance</t>
  </si>
  <si>
    <t>Sub Committee Meeting</t>
  </si>
  <si>
    <t>SOE Workshop</t>
  </si>
  <si>
    <t>Validation Group Meeting</t>
  </si>
  <si>
    <t>Template Training and Meeting</t>
  </si>
  <si>
    <t>MSG, Sub-Committee, BO, Training, Workshop, Meeting</t>
  </si>
  <si>
    <t>MOBD Operation Cost</t>
  </si>
  <si>
    <t>NCS Office Salary</t>
  </si>
  <si>
    <t>NCS Office Operation Cost</t>
  </si>
  <si>
    <t>Consult Fees</t>
  </si>
  <si>
    <t>Operation Cost and Salary</t>
  </si>
  <si>
    <t>IA, Mining Cadaster,  Web Portal</t>
  </si>
  <si>
    <t>Mining Cadaster Phase II Consultant Fees</t>
  </si>
  <si>
    <t>Web Portal and Infographic Consultant Fees</t>
  </si>
  <si>
    <t>BO Task Force Meeting and Training</t>
  </si>
  <si>
    <t xml:space="preserve">Sub- Total </t>
  </si>
  <si>
    <t>EITI Secretariat Office Running Cost</t>
  </si>
  <si>
    <t>Printing 2400, Translation 5100</t>
  </si>
  <si>
    <t>TOTAL (July 2019 to 13th May 2020)</t>
  </si>
  <si>
    <t>Budget for 3.5 Million USD Remainder  (29-5-20)</t>
  </si>
  <si>
    <t>Up to 29 May 2020</t>
  </si>
  <si>
    <t>May' 2020</t>
  </si>
  <si>
    <t>Will remail 1060 after paid printing cost 2600</t>
  </si>
  <si>
    <t>Budget Category in Remaining 3.5 Million(2-6-2020)</t>
  </si>
  <si>
    <t>5th Report and Forestry Report IA Conusltant Fees</t>
  </si>
  <si>
    <t>WB 3.5 million Fund(2-6-2020)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</si>
</sst>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44" x14ac:knownFonts="1">
    <font>
      <sz val="11"/>
      <color theme="1"/>
      <name val="Myanmar Text"/>
      <family val="2"/>
      <scheme val="minor"/>
    </font>
    <font>
      <sz val="11"/>
      <color rgb="FF9C5700"/>
      <name val="Myanmar Text"/>
      <family val="2"/>
      <scheme val="minor"/>
    </font>
    <font>
      <sz val="14"/>
      <color theme="1"/>
      <name val="Times New Roman"/>
      <family val="1"/>
    </font>
    <font>
      <sz val="11"/>
      <color theme="1"/>
      <name val="Myanmar Text"/>
      <family val="2"/>
      <scheme val="minor"/>
    </font>
    <font>
      <sz val="8"/>
      <name val="Myanmar Text"/>
      <family val="2"/>
      <scheme val="minor"/>
    </font>
    <font>
      <sz val="16"/>
      <color theme="1"/>
      <name val="Times New Roman"/>
      <family val="1"/>
    </font>
    <font>
      <sz val="48"/>
      <color theme="1"/>
      <name val="Times New Roman"/>
      <family val="1"/>
    </font>
    <font>
      <sz val="55"/>
      <color theme="1"/>
      <name val="Times New Roman"/>
      <family val="1"/>
    </font>
    <font>
      <b/>
      <sz val="16"/>
      <color theme="1"/>
      <name val="Times New Roman"/>
      <family val="1"/>
    </font>
    <font>
      <sz val="12"/>
      <color theme="1"/>
      <name val="Myanmar Text"/>
      <family val="2"/>
      <scheme val="minor"/>
    </font>
    <font>
      <b/>
      <sz val="14"/>
      <color theme="1"/>
      <name val="Myanmar Text"/>
      <family val="2"/>
      <scheme val="minor"/>
    </font>
    <font>
      <b/>
      <sz val="14"/>
      <name val="Myanmar Text"/>
      <family val="2"/>
      <scheme val="minor"/>
    </font>
    <font>
      <b/>
      <sz val="16"/>
      <color theme="1"/>
      <name val="Myanmar Text"/>
      <family val="2"/>
      <scheme val="minor"/>
    </font>
    <font>
      <b/>
      <sz val="20"/>
      <color theme="1"/>
      <name val="Myanmar Text"/>
      <family val="2"/>
      <scheme val="minor"/>
    </font>
    <font>
      <b/>
      <sz val="20"/>
      <name val="Myanmar Text"/>
      <family val="2"/>
      <scheme val="minor"/>
    </font>
    <font>
      <b/>
      <sz val="20"/>
      <color theme="0"/>
      <name val="Myanmar Text"/>
      <family val="2"/>
      <scheme val="minor"/>
    </font>
    <font>
      <sz val="20"/>
      <color theme="1"/>
      <name val="Myanmar Text"/>
      <family val="2"/>
      <scheme val="minor"/>
    </font>
    <font>
      <sz val="20"/>
      <color rgb="FF0000FF"/>
      <name val="Myanmar Text"/>
      <family val="2"/>
      <scheme val="minor"/>
    </font>
    <font>
      <sz val="20"/>
      <name val="Myanmar Text"/>
      <family val="2"/>
      <scheme val="minor"/>
    </font>
    <font>
      <sz val="20"/>
      <color rgb="FF3366FF"/>
      <name val="Myanmar Text"/>
      <family val="2"/>
      <scheme val="minor"/>
    </font>
    <font>
      <sz val="10"/>
      <name val="Arial"/>
      <family val="2"/>
    </font>
    <font>
      <b/>
      <sz val="20"/>
      <color theme="9" tint="-0.249977111117893"/>
      <name val="Myanmar Text"/>
      <family val="2"/>
      <scheme val="minor"/>
    </font>
    <font>
      <i/>
      <sz val="20"/>
      <color rgb="FF0000FF"/>
      <name val="Myanmar Text"/>
      <family val="2"/>
      <scheme val="minor"/>
    </font>
    <font>
      <sz val="20"/>
      <color rgb="FF0033CC"/>
      <name val="Myanmar Text"/>
      <family val="2"/>
      <scheme val="minor"/>
    </font>
    <font>
      <sz val="20"/>
      <color rgb="FFFF0000"/>
      <name val="Myanmar Text"/>
      <family val="2"/>
      <scheme val="minor"/>
    </font>
    <font>
      <sz val="20"/>
      <color rgb="FFFFFF00"/>
      <name val="Myanmar Text"/>
      <family val="2"/>
      <scheme val="minor"/>
    </font>
    <font>
      <b/>
      <sz val="20"/>
      <color rgb="FFFFFF00"/>
      <name val="Myanmar Text"/>
      <family val="2"/>
      <scheme val="minor"/>
    </font>
    <font>
      <b/>
      <sz val="20"/>
      <color rgb="FFFF0000"/>
      <name val="Myanmar Text"/>
      <family val="2"/>
      <scheme val="minor"/>
    </font>
    <font>
      <b/>
      <sz val="14"/>
      <color rgb="FFFF0000"/>
      <name val="Myanmar Text"/>
      <family val="2"/>
      <scheme val="minor"/>
    </font>
    <font>
      <b/>
      <sz val="20"/>
      <color rgb="FF0000FF"/>
      <name val="Myanmar Text"/>
      <family val="2"/>
      <scheme val="minor"/>
    </font>
    <font>
      <sz val="14"/>
      <name val="Myanmar Text"/>
      <family val="2"/>
      <scheme val="minor"/>
    </font>
    <font>
      <b/>
      <sz val="18"/>
      <color theme="1"/>
      <name val="Myanmar Text"/>
      <family val="2"/>
      <scheme val="minor"/>
    </font>
    <font>
      <b/>
      <sz val="20"/>
      <color rgb="FF0033CC"/>
      <name val="Myanmar Text"/>
      <family val="2"/>
      <scheme val="minor"/>
    </font>
    <font>
      <sz val="14"/>
      <color theme="1"/>
      <name val="Myanmar Text"/>
      <family val="2"/>
      <scheme val="minor"/>
    </font>
    <font>
      <b/>
      <sz val="28"/>
      <color theme="1"/>
      <name val="Myanmar Text"/>
      <family val="2"/>
      <scheme val="minor"/>
    </font>
    <font>
      <b/>
      <sz val="16"/>
      <color indexed="81"/>
      <name val="Tahoma"/>
      <family val="2"/>
    </font>
    <font>
      <b/>
      <sz val="12"/>
      <color theme="1"/>
      <name val="Calibri Light"/>
      <family val="2"/>
    </font>
    <font>
      <sz val="12"/>
      <color theme="1"/>
      <name val="Calibri Light"/>
      <family val="2"/>
    </font>
    <font>
      <sz val="12"/>
      <color rgb="FF9C5700"/>
      <name val="Calibri Light"/>
      <family val="2"/>
    </font>
    <font>
      <b/>
      <sz val="12"/>
      <color rgb="FF9C5700"/>
      <name val="Calibri Light"/>
      <family val="2"/>
    </font>
    <font>
      <sz val="12"/>
      <name val="Calibri Light"/>
      <family val="2"/>
    </font>
    <font>
      <sz val="12"/>
      <color rgb="FFFF0000"/>
      <name val="Calibri Light"/>
      <family val="2"/>
    </font>
    <font>
      <b/>
      <sz val="12"/>
      <name val="Calibri Light"/>
      <family val="2"/>
    </font>
    <font>
      <b/>
      <sz val="14"/>
      <color rgb="FF00B050"/>
      <name val="Myanmar Text"/>
      <family val="2"/>
      <scheme val="minor"/>
    </font>
  </fonts>
  <fills count="19">
    <fill>
      <patternFill patternType="none"/>
    </fill>
    <fill>
      <patternFill patternType="gray125"/>
    </fill>
    <fill>
      <patternFill patternType="solid">
        <fgColor rgb="FFFFEB9C"/>
      </patternFill>
    </fill>
    <fill>
      <patternFill patternType="solid">
        <fgColor theme="0"/>
        <bgColor indexed="64"/>
      </patternFill>
    </fill>
    <fill>
      <patternFill patternType="solid">
        <fgColor theme="7" tint="0.39997558519241921"/>
        <bgColor indexed="64"/>
      </patternFill>
    </fill>
    <fill>
      <patternFill patternType="solid">
        <fgColor rgb="FFFFFF00"/>
        <bgColor indexed="64"/>
      </patternFill>
    </fill>
    <fill>
      <patternFill patternType="solid">
        <fgColor rgb="FF92D050"/>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FFCC"/>
        <bgColor indexed="64"/>
      </patternFill>
    </fill>
    <fill>
      <patternFill patternType="solid">
        <fgColor theme="4" tint="-0.499984740745262"/>
        <bgColor indexed="64"/>
      </patternFill>
    </fill>
    <fill>
      <patternFill patternType="solid">
        <fgColor theme="3" tint="-0.249977111117893"/>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00B0F0"/>
        <bgColor indexed="64"/>
      </patternFill>
    </fill>
    <fill>
      <patternFill patternType="solid">
        <fgColor theme="9"/>
        <bgColor indexed="64"/>
      </patternFill>
    </fill>
    <fill>
      <patternFill patternType="solid">
        <fgColor theme="6"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8">
    <xf numFmtId="0" fontId="0" fillId="0" borderId="0"/>
    <xf numFmtId="0" fontId="1" fillId="2" borderId="0" applyNumberFormat="0" applyBorder="0" applyAlignment="0" applyProtection="0"/>
    <xf numFmtId="43" fontId="3" fillId="0" borderId="0" applyFont="0" applyFill="0" applyBorder="0" applyAlignment="0" applyProtection="0"/>
    <xf numFmtId="0" fontId="9" fillId="0" borderId="0"/>
    <xf numFmtId="0" fontId="3" fillId="0" borderId="0"/>
    <xf numFmtId="43" fontId="9" fillId="0" borderId="0" applyFont="0" applyFill="0" applyBorder="0" applyAlignment="0" applyProtection="0"/>
    <xf numFmtId="43" fontId="20" fillId="0" borderId="0" applyFont="0" applyFill="0" applyBorder="0" applyAlignment="0" applyProtection="0"/>
    <xf numFmtId="0" fontId="9" fillId="0" borderId="0"/>
  </cellStyleXfs>
  <cellXfs count="350">
    <xf numFmtId="0" fontId="0" fillId="0" borderId="0" xfId="0"/>
    <xf numFmtId="0" fontId="2" fillId="0" borderId="0" xfId="0" applyFont="1"/>
    <xf numFmtId="164" fontId="2" fillId="0" borderId="0" xfId="2" applyNumberFormat="1" applyFont="1"/>
    <xf numFmtId="0" fontId="5" fillId="0" borderId="0" xfId="0" applyFont="1"/>
    <xf numFmtId="0" fontId="6" fillId="0" borderId="0" xfId="0" applyFont="1" applyAlignment="1"/>
    <xf numFmtId="0" fontId="8" fillId="0" borderId="0" xfId="0" applyFont="1"/>
    <xf numFmtId="164" fontId="2" fillId="0" borderId="0" xfId="0" applyNumberFormat="1" applyFont="1"/>
    <xf numFmtId="0" fontId="2" fillId="3" borderId="0" xfId="0" applyFont="1" applyFill="1"/>
    <xf numFmtId="0" fontId="11" fillId="0" borderId="0" xfId="3" applyFont="1"/>
    <xf numFmtId="0" fontId="10" fillId="0" borderId="0" xfId="3" applyFont="1"/>
    <xf numFmtId="0" fontId="12" fillId="7" borderId="0" xfId="3" applyFont="1" applyFill="1" applyAlignment="1">
      <alignment horizontal="center" vertical="top" wrapText="1"/>
    </xf>
    <xf numFmtId="0" fontId="12" fillId="7" borderId="0" xfId="3" applyFont="1" applyFill="1"/>
    <xf numFmtId="0" fontId="13" fillId="7" borderId="12" xfId="3" applyFont="1" applyFill="1" applyBorder="1" applyAlignment="1">
      <alignment horizontal="center" vertical="center"/>
    </xf>
    <xf numFmtId="0" fontId="13" fillId="7" borderId="1" xfId="4" applyFont="1" applyFill="1" applyBorder="1" applyAlignment="1">
      <alignment horizontal="center" vertical="center"/>
    </xf>
    <xf numFmtId="17" fontId="13" fillId="7" borderId="1" xfId="4" applyNumberFormat="1" applyFont="1" applyFill="1" applyBorder="1" applyAlignment="1">
      <alignment horizontal="center" vertical="center" wrapText="1"/>
    </xf>
    <xf numFmtId="17" fontId="13" fillId="7" borderId="1" xfId="3" applyNumberFormat="1" applyFont="1" applyFill="1" applyBorder="1" applyAlignment="1">
      <alignment horizontal="center" vertical="center" wrapText="1"/>
    </xf>
    <xf numFmtId="14" fontId="13" fillId="7" borderId="1" xfId="3" applyNumberFormat="1" applyFont="1" applyFill="1" applyBorder="1" applyAlignment="1">
      <alignment horizontal="center" vertical="center" wrapText="1"/>
    </xf>
    <xf numFmtId="0" fontId="13" fillId="7" borderId="1" xfId="4" applyFont="1" applyFill="1" applyBorder="1" applyAlignment="1">
      <alignment horizontal="center" vertical="center" wrapText="1"/>
    </xf>
    <xf numFmtId="0" fontId="14" fillId="9" borderId="1" xfId="3" applyFont="1" applyFill="1" applyBorder="1" applyAlignment="1">
      <alignment horizontal="left" vertical="center" wrapText="1"/>
    </xf>
    <xf numFmtId="0" fontId="14" fillId="9" borderId="11" xfId="3" applyFont="1" applyFill="1" applyBorder="1" applyAlignment="1">
      <alignment vertical="center"/>
    </xf>
    <xf numFmtId="0" fontId="13" fillId="9" borderId="11" xfId="3" applyFont="1" applyFill="1" applyBorder="1" applyAlignment="1">
      <alignment vertical="center"/>
    </xf>
    <xf numFmtId="164" fontId="18" fillId="6" borderId="1" xfId="5" applyNumberFormat="1" applyFont="1" applyFill="1" applyBorder="1" applyAlignment="1">
      <alignment horizontal="right" vertical="center"/>
    </xf>
    <xf numFmtId="164" fontId="18" fillId="3" borderId="1" xfId="5" applyNumberFormat="1" applyFont="1" applyFill="1" applyBorder="1" applyAlignment="1">
      <alignment vertical="center"/>
    </xf>
    <xf numFmtId="164" fontId="18" fillId="3" borderId="10" xfId="3" applyNumberFormat="1" applyFont="1" applyFill="1" applyBorder="1" applyAlignment="1">
      <alignment vertical="center"/>
    </xf>
    <xf numFmtId="164" fontId="13" fillId="3" borderId="1" xfId="5" applyNumberFormat="1" applyFont="1" applyFill="1" applyBorder="1" applyAlignment="1">
      <alignment horizontal="right" vertical="center"/>
    </xf>
    <xf numFmtId="164" fontId="18" fillId="3" borderId="1" xfId="5" applyNumberFormat="1" applyFont="1" applyFill="1" applyBorder="1" applyAlignment="1">
      <alignment horizontal="right" vertical="center"/>
    </xf>
    <xf numFmtId="0" fontId="18" fillId="3" borderId="1" xfId="3" applyFont="1" applyFill="1" applyBorder="1"/>
    <xf numFmtId="0" fontId="16" fillId="0" borderId="1" xfId="3" applyFont="1" applyBorder="1"/>
    <xf numFmtId="164" fontId="14" fillId="3" borderId="1" xfId="5" applyNumberFormat="1" applyFont="1" applyFill="1" applyBorder="1" applyAlignment="1">
      <alignment horizontal="right" vertical="center"/>
    </xf>
    <xf numFmtId="164" fontId="14" fillId="6" borderId="1" xfId="5" applyNumberFormat="1" applyFont="1" applyFill="1" applyBorder="1" applyAlignment="1">
      <alignment horizontal="right" vertical="center"/>
    </xf>
    <xf numFmtId="164" fontId="18" fillId="6" borderId="10" xfId="3" applyNumberFormat="1" applyFont="1" applyFill="1" applyBorder="1" applyAlignment="1">
      <alignment vertical="center"/>
    </xf>
    <xf numFmtId="164" fontId="13" fillId="6" borderId="1" xfId="5" applyNumberFormat="1" applyFont="1" applyFill="1" applyBorder="1" applyAlignment="1">
      <alignment horizontal="right" vertical="center"/>
    </xf>
    <xf numFmtId="0" fontId="10" fillId="6" borderId="0" xfId="3" applyFont="1" applyFill="1"/>
    <xf numFmtId="164" fontId="27" fillId="3" borderId="1" xfId="5" applyNumberFormat="1" applyFont="1" applyFill="1" applyBorder="1" applyAlignment="1">
      <alignment horizontal="right" vertical="center"/>
    </xf>
    <xf numFmtId="0" fontId="24" fillId="3" borderId="1" xfId="3" applyFont="1" applyFill="1" applyBorder="1" applyAlignment="1">
      <alignment vertical="center"/>
    </xf>
    <xf numFmtId="0" fontId="28" fillId="0" borderId="0" xfId="3" applyFont="1"/>
    <xf numFmtId="0" fontId="28" fillId="3" borderId="0" xfId="3" applyFont="1" applyFill="1"/>
    <xf numFmtId="164" fontId="13" fillId="10" borderId="1" xfId="5" applyNumberFormat="1" applyFont="1" applyFill="1" applyBorder="1" applyAlignment="1">
      <alignment vertical="center"/>
    </xf>
    <xf numFmtId="0" fontId="10" fillId="3" borderId="0" xfId="3" applyFont="1" applyFill="1"/>
    <xf numFmtId="0" fontId="10" fillId="0" borderId="0" xfId="3" applyFont="1" applyAlignment="1">
      <alignment vertical="center"/>
    </xf>
    <xf numFmtId="0" fontId="14" fillId="10" borderId="10" xfId="3" applyFont="1" applyFill="1" applyBorder="1"/>
    <xf numFmtId="0" fontId="13" fillId="10" borderId="10" xfId="3" applyFont="1" applyFill="1" applyBorder="1"/>
    <xf numFmtId="0" fontId="13" fillId="0" borderId="1" xfId="3" applyFont="1" applyBorder="1" applyAlignment="1">
      <alignment vertical="center" wrapText="1"/>
    </xf>
    <xf numFmtId="0" fontId="14" fillId="0" borderId="1" xfId="3" applyFont="1" applyBorder="1" applyAlignment="1">
      <alignment horizontal="left" vertical="center" wrapText="1"/>
    </xf>
    <xf numFmtId="0" fontId="16" fillId="0" borderId="1" xfId="3" applyFont="1" applyBorder="1" applyAlignment="1">
      <alignment vertical="center"/>
    </xf>
    <xf numFmtId="0" fontId="16" fillId="0" borderId="1" xfId="3" applyFont="1" applyBorder="1" applyAlignment="1">
      <alignment vertical="center" wrapText="1"/>
    </xf>
    <xf numFmtId="0" fontId="17" fillId="0" borderId="1" xfId="3" applyFont="1" applyBorder="1" applyAlignment="1">
      <alignment vertical="center" wrapText="1"/>
    </xf>
    <xf numFmtId="164" fontId="14" fillId="11" borderId="1" xfId="5" applyNumberFormat="1" applyFont="1" applyFill="1" applyBorder="1" applyAlignment="1">
      <alignment horizontal="right" vertical="center"/>
    </xf>
    <xf numFmtId="164" fontId="18" fillId="0" borderId="10" xfId="3" applyNumberFormat="1" applyFont="1" applyBorder="1" applyAlignment="1">
      <alignment vertical="center"/>
    </xf>
    <xf numFmtId="164" fontId="27" fillId="0" borderId="0" xfId="3" applyNumberFormat="1" applyFont="1" applyAlignment="1">
      <alignment vertical="center"/>
    </xf>
    <xf numFmtId="43" fontId="10" fillId="0" borderId="0" xfId="3" applyNumberFormat="1" applyFont="1"/>
    <xf numFmtId="0" fontId="14" fillId="0" borderId="1" xfId="3" applyFont="1" applyBorder="1" applyAlignment="1">
      <alignment vertical="center" wrapText="1"/>
    </xf>
    <xf numFmtId="0" fontId="18" fillId="0" borderId="1" xfId="3" applyFont="1" applyBorder="1" applyAlignment="1">
      <alignment vertical="center" wrapText="1"/>
    </xf>
    <xf numFmtId="164" fontId="10" fillId="0" borderId="0" xfId="3" applyNumberFormat="1" applyFont="1"/>
    <xf numFmtId="0" fontId="13" fillId="0" borderId="1" xfId="3" applyFont="1" applyBorder="1" applyAlignment="1">
      <alignment vertical="center"/>
    </xf>
    <xf numFmtId="164" fontId="13" fillId="7" borderId="1" xfId="5" applyNumberFormat="1" applyFont="1" applyFill="1" applyBorder="1" applyAlignment="1">
      <alignment vertical="center"/>
    </xf>
    <xf numFmtId="0" fontId="29" fillId="0" borderId="1" xfId="3" applyFont="1" applyBorder="1" applyAlignment="1">
      <alignment vertical="top" wrapText="1"/>
    </xf>
    <xf numFmtId="0" fontId="13" fillId="0" borderId="1" xfId="3" applyFont="1" applyBorder="1"/>
    <xf numFmtId="0" fontId="14" fillId="0" borderId="1" xfId="3" applyFont="1" applyBorder="1" applyAlignment="1">
      <alignment horizontal="left" vertical="center"/>
    </xf>
    <xf numFmtId="0" fontId="27" fillId="0" borderId="1" xfId="3" applyFont="1" applyBorder="1" applyAlignment="1">
      <alignment vertical="center" wrapText="1"/>
    </xf>
    <xf numFmtId="0" fontId="29" fillId="0" borderId="1" xfId="3" applyFont="1" applyBorder="1" applyAlignment="1">
      <alignment vertical="center" wrapText="1"/>
    </xf>
    <xf numFmtId="0" fontId="30" fillId="0" borderId="0" xfId="3" applyFont="1"/>
    <xf numFmtId="164" fontId="13" fillId="10" borderId="7" xfId="5" applyNumberFormat="1" applyFont="1" applyFill="1" applyBorder="1" applyAlignment="1">
      <alignment horizontal="right" vertical="center"/>
    </xf>
    <xf numFmtId="164" fontId="18" fillId="10" borderId="1" xfId="5" applyNumberFormat="1" applyFont="1" applyFill="1" applyBorder="1" applyAlignment="1">
      <alignment horizontal="right" vertical="center"/>
    </xf>
    <xf numFmtId="0" fontId="29" fillId="0" borderId="1" xfId="3" applyFont="1" applyBorder="1" applyAlignment="1">
      <alignment vertical="top"/>
    </xf>
    <xf numFmtId="164" fontId="13" fillId="7" borderId="1" xfId="5" applyNumberFormat="1" applyFont="1" applyFill="1" applyBorder="1" applyAlignment="1">
      <alignment horizontal="right" vertical="center"/>
    </xf>
    <xf numFmtId="0" fontId="14" fillId="10" borderId="1" xfId="3" applyFont="1" applyFill="1" applyBorder="1" applyAlignment="1">
      <alignment horizontal="left" vertical="center"/>
    </xf>
    <xf numFmtId="0" fontId="13" fillId="0" borderId="7" xfId="3" applyFont="1" applyBorder="1" applyAlignment="1">
      <alignment horizontal="left" vertical="center" wrapText="1"/>
    </xf>
    <xf numFmtId="0" fontId="13" fillId="0" borderId="1" xfId="3" applyFont="1" applyBorder="1" applyAlignment="1">
      <alignment horizontal="center" vertical="center" wrapText="1"/>
    </xf>
    <xf numFmtId="0" fontId="29" fillId="0" borderId="1" xfId="3" applyFont="1" applyBorder="1" applyAlignment="1">
      <alignment vertical="center"/>
    </xf>
    <xf numFmtId="3" fontId="16" fillId="3" borderId="1" xfId="3" applyNumberFormat="1" applyFont="1" applyFill="1" applyBorder="1" applyAlignment="1">
      <alignment vertical="center"/>
    </xf>
    <xf numFmtId="164" fontId="16" fillId="3" borderId="1" xfId="5" applyNumberFormat="1" applyFont="1" applyFill="1" applyBorder="1" applyAlignment="1">
      <alignment vertical="center"/>
    </xf>
    <xf numFmtId="0" fontId="13" fillId="3" borderId="1" xfId="3" applyFont="1" applyFill="1" applyBorder="1"/>
    <xf numFmtId="164" fontId="24" fillId="3" borderId="1" xfId="5" applyNumberFormat="1" applyFont="1" applyFill="1" applyBorder="1" applyAlignment="1">
      <alignment vertical="center"/>
    </xf>
    <xf numFmtId="164" fontId="16" fillId="3" borderId="1" xfId="5" applyNumberFormat="1" applyFont="1" applyFill="1" applyBorder="1" applyAlignment="1">
      <alignment horizontal="right" vertical="center"/>
    </xf>
    <xf numFmtId="0" fontId="13" fillId="3" borderId="0" xfId="3" applyFont="1" applyFill="1"/>
    <xf numFmtId="164" fontId="32" fillId="3" borderId="1" xfId="5" applyNumberFormat="1" applyFont="1" applyFill="1" applyBorder="1" applyAlignment="1">
      <alignment horizontal="right" vertical="center"/>
    </xf>
    <xf numFmtId="0" fontId="13" fillId="0" borderId="1" xfId="3" applyFont="1" applyBorder="1" applyAlignment="1">
      <alignment horizontal="left" vertical="center" wrapText="1"/>
    </xf>
    <xf numFmtId="0" fontId="10" fillId="0" borderId="0" xfId="3" applyFont="1" applyAlignment="1">
      <alignment wrapText="1"/>
    </xf>
    <xf numFmtId="164" fontId="13" fillId="0" borderId="1" xfId="3" applyNumberFormat="1" applyFont="1" applyBorder="1" applyAlignment="1">
      <alignment vertical="center" wrapText="1"/>
    </xf>
    <xf numFmtId="164" fontId="16" fillId="3" borderId="1" xfId="5" applyNumberFormat="1" applyFont="1" applyFill="1" applyBorder="1" applyAlignment="1">
      <alignment vertical="center" wrapText="1"/>
    </xf>
    <xf numFmtId="0" fontId="14" fillId="0" borderId="1" xfId="3" applyFont="1" applyBorder="1" applyAlignment="1">
      <alignment vertical="center"/>
    </xf>
    <xf numFmtId="0" fontId="16" fillId="3" borderId="10" xfId="3" applyFont="1" applyFill="1" applyBorder="1" applyAlignment="1">
      <alignment vertical="center"/>
    </xf>
    <xf numFmtId="0" fontId="16" fillId="3" borderId="1" xfId="3" applyFont="1" applyFill="1" applyBorder="1" applyAlignment="1">
      <alignment vertical="center"/>
    </xf>
    <xf numFmtId="164" fontId="18" fillId="3" borderId="1" xfId="3" applyNumberFormat="1" applyFont="1" applyFill="1" applyBorder="1" applyAlignment="1">
      <alignment vertical="center"/>
    </xf>
    <xf numFmtId="0" fontId="14" fillId="0" borderId="1" xfId="3" applyFont="1" applyBorder="1"/>
    <xf numFmtId="0" fontId="18" fillId="0" borderId="1" xfId="3" applyFont="1" applyBorder="1"/>
    <xf numFmtId="0" fontId="14" fillId="3" borderId="1" xfId="3" applyFont="1" applyFill="1" applyBorder="1"/>
    <xf numFmtId="164" fontId="14" fillId="7" borderId="1" xfId="5" applyNumberFormat="1" applyFont="1" applyFill="1" applyBorder="1" applyAlignment="1">
      <alignment horizontal="right" vertical="center"/>
    </xf>
    <xf numFmtId="0" fontId="14" fillId="0" borderId="1" xfId="3" applyFont="1" applyBorder="1" applyAlignment="1">
      <alignment wrapText="1"/>
    </xf>
    <xf numFmtId="164" fontId="18" fillId="5" borderId="1" xfId="5" applyNumberFormat="1" applyFont="1" applyFill="1" applyBorder="1" applyAlignment="1">
      <alignment horizontal="right" vertical="center"/>
    </xf>
    <xf numFmtId="164" fontId="13" fillId="10" borderId="1" xfId="5" applyNumberFormat="1" applyFont="1" applyFill="1" applyBorder="1" applyAlignment="1">
      <alignment horizontal="center" vertical="center"/>
    </xf>
    <xf numFmtId="0" fontId="10" fillId="0" borderId="0" xfId="3" applyFont="1" applyAlignment="1">
      <alignment horizontal="center" vertical="center"/>
    </xf>
    <xf numFmtId="164" fontId="15" fillId="12" borderId="1" xfId="5" applyNumberFormat="1" applyFont="1" applyFill="1" applyBorder="1" applyAlignment="1">
      <alignment vertical="center"/>
    </xf>
    <xf numFmtId="164" fontId="15" fillId="13" borderId="1" xfId="5" applyNumberFormat="1" applyFont="1" applyFill="1" applyBorder="1" applyAlignment="1">
      <alignment vertical="center"/>
    </xf>
    <xf numFmtId="164" fontId="31" fillId="0" borderId="0" xfId="3" applyNumberFormat="1" applyFont="1" applyAlignment="1">
      <alignment vertical="center"/>
    </xf>
    <xf numFmtId="0" fontId="33" fillId="0" borderId="0" xfId="3" applyFont="1"/>
    <xf numFmtId="0" fontId="34" fillId="0" borderId="0" xfId="3" applyFont="1"/>
    <xf numFmtId="0" fontId="10" fillId="14" borderId="0" xfId="3" applyFont="1" applyFill="1"/>
    <xf numFmtId="164" fontId="14" fillId="3" borderId="1" xfId="5" applyNumberFormat="1" applyFont="1" applyFill="1" applyBorder="1" applyAlignment="1">
      <alignment horizontal="left" vertical="center"/>
    </xf>
    <xf numFmtId="164" fontId="14" fillId="3" borderId="1" xfId="5" applyNumberFormat="1" applyFont="1" applyFill="1" applyBorder="1" applyAlignment="1">
      <alignment horizontal="left" vertical="center" wrapText="1"/>
    </xf>
    <xf numFmtId="164" fontId="18" fillId="3" borderId="1" xfId="5" applyNumberFormat="1" applyFont="1" applyFill="1" applyBorder="1" applyAlignment="1">
      <alignment vertical="center" wrapText="1"/>
    </xf>
    <xf numFmtId="164" fontId="14" fillId="3" borderId="1" xfId="5" applyNumberFormat="1" applyFont="1" applyFill="1" applyBorder="1" applyAlignment="1">
      <alignment horizontal="center" vertical="center"/>
    </xf>
    <xf numFmtId="164" fontId="14" fillId="3" borderId="1" xfId="5" applyNumberFormat="1" applyFont="1" applyFill="1" applyBorder="1" applyAlignment="1">
      <alignment vertical="center" wrapText="1"/>
    </xf>
    <xf numFmtId="164" fontId="14" fillId="3" borderId="1" xfId="5" applyNumberFormat="1" applyFont="1" applyFill="1" applyBorder="1" applyAlignment="1">
      <alignment vertical="center"/>
    </xf>
    <xf numFmtId="0" fontId="14" fillId="3" borderId="1" xfId="3" applyFont="1" applyFill="1" applyBorder="1" applyAlignment="1">
      <alignment horizontal="left" vertical="center" wrapText="1"/>
    </xf>
    <xf numFmtId="0" fontId="14" fillId="3" borderId="1" xfId="3" applyFont="1" applyFill="1" applyBorder="1" applyAlignment="1">
      <alignment vertical="center" wrapText="1"/>
    </xf>
    <xf numFmtId="0" fontId="18" fillId="3" borderId="1" xfId="3" applyFont="1" applyFill="1" applyBorder="1" applyAlignment="1">
      <alignment vertical="center"/>
    </xf>
    <xf numFmtId="0" fontId="18" fillId="3" borderId="1" xfId="3" applyFont="1" applyFill="1" applyBorder="1" applyAlignment="1">
      <alignment vertical="center" wrapText="1"/>
    </xf>
    <xf numFmtId="0" fontId="14" fillId="3" borderId="1" xfId="3" applyFont="1" applyFill="1" applyBorder="1" applyAlignment="1">
      <alignment vertical="center"/>
    </xf>
    <xf numFmtId="0" fontId="14" fillId="3" borderId="1" xfId="3" applyFont="1" applyFill="1" applyBorder="1" applyAlignment="1">
      <alignment horizontal="left" vertical="center"/>
    </xf>
    <xf numFmtId="164" fontId="18" fillId="3" borderId="1" xfId="5" applyNumberFormat="1" applyFont="1" applyFill="1" applyBorder="1" applyAlignment="1">
      <alignment horizontal="center" vertical="center"/>
    </xf>
    <xf numFmtId="0" fontId="14" fillId="3" borderId="1" xfId="3" applyFont="1" applyFill="1" applyBorder="1" applyAlignment="1">
      <alignment horizontal="center" vertical="center" wrapText="1"/>
    </xf>
    <xf numFmtId="164" fontId="14" fillId="3" borderId="1" xfId="5" applyNumberFormat="1" applyFont="1" applyFill="1" applyBorder="1" applyAlignment="1">
      <alignment horizontal="center" vertical="center" wrapText="1"/>
    </xf>
    <xf numFmtId="164" fontId="14" fillId="3" borderId="1" xfId="3" applyNumberFormat="1" applyFont="1" applyFill="1" applyBorder="1" applyAlignment="1">
      <alignment vertical="center" wrapText="1"/>
    </xf>
    <xf numFmtId="0" fontId="14" fillId="3" borderId="1" xfId="3" applyFont="1" applyFill="1" applyBorder="1" applyAlignment="1">
      <alignment wrapText="1"/>
    </xf>
    <xf numFmtId="0" fontId="36" fillId="0" borderId="2" xfId="0" applyFont="1" applyBorder="1" applyAlignment="1">
      <alignment vertical="center" wrapText="1"/>
    </xf>
    <xf numFmtId="0" fontId="36" fillId="0" borderId="3" xfId="0" applyFont="1" applyBorder="1" applyAlignment="1">
      <alignment vertical="center" wrapText="1"/>
    </xf>
    <xf numFmtId="0" fontId="36" fillId="0" borderId="6" xfId="0" applyFont="1" applyBorder="1" applyAlignment="1">
      <alignment vertical="center" wrapText="1"/>
    </xf>
    <xf numFmtId="0" fontId="37" fillId="0" borderId="1" xfId="0" applyFont="1" applyBorder="1" applyAlignment="1">
      <alignment vertical="center" wrapText="1"/>
    </xf>
    <xf numFmtId="17" fontId="37" fillId="0" borderId="1" xfId="0" applyNumberFormat="1" applyFont="1" applyBorder="1" applyAlignment="1">
      <alignment horizontal="center" vertical="center"/>
    </xf>
    <xf numFmtId="0" fontId="38" fillId="2" borderId="1" xfId="1" applyFont="1" applyBorder="1"/>
    <xf numFmtId="0" fontId="39" fillId="2" borderId="1" xfId="1" applyFont="1" applyBorder="1" applyAlignment="1"/>
    <xf numFmtId="164" fontId="39" fillId="2" borderId="1" xfId="2" applyNumberFormat="1" applyFont="1" applyFill="1" applyBorder="1" applyAlignment="1"/>
    <xf numFmtId="0" fontId="37" fillId="0" borderId="1" xfId="0" applyFont="1" applyBorder="1"/>
    <xf numFmtId="0" fontId="37" fillId="0" borderId="1" xfId="0" applyFont="1" applyBorder="1" applyAlignment="1">
      <alignment wrapText="1"/>
    </xf>
    <xf numFmtId="0" fontId="36" fillId="0" borderId="1" xfId="0" applyFont="1" applyBorder="1" applyAlignment="1">
      <alignment wrapText="1"/>
    </xf>
    <xf numFmtId="0" fontId="37" fillId="0" borderId="1" xfId="0" applyFont="1" applyFill="1" applyBorder="1" applyAlignment="1">
      <alignment wrapText="1"/>
    </xf>
    <xf numFmtId="0" fontId="40" fillId="0" borderId="1" xfId="0" applyFont="1" applyFill="1" applyBorder="1" applyAlignment="1">
      <alignment wrapText="1"/>
    </xf>
    <xf numFmtId="0" fontId="37" fillId="3" borderId="1" xfId="0" applyFont="1" applyFill="1" applyBorder="1" applyAlignment="1">
      <alignment wrapText="1"/>
    </xf>
    <xf numFmtId="0" fontId="41" fillId="0" borderId="1" xfId="0" applyFont="1" applyFill="1" applyBorder="1" applyAlignment="1">
      <alignment wrapText="1"/>
    </xf>
    <xf numFmtId="0" fontId="36" fillId="0" borderId="9" xfId="0" applyFont="1" applyBorder="1" applyAlignment="1">
      <alignment vertical="center" wrapText="1"/>
    </xf>
    <xf numFmtId="0" fontId="37" fillId="3" borderId="1" xfId="0" applyFont="1" applyFill="1" applyBorder="1"/>
    <xf numFmtId="0" fontId="36" fillId="0" borderId="8" xfId="0" applyFont="1" applyBorder="1" applyAlignment="1">
      <alignment horizontal="left" vertical="center" wrapText="1"/>
    </xf>
    <xf numFmtId="0" fontId="37" fillId="0" borderId="1" xfId="0" applyFont="1" applyBorder="1" applyAlignment="1">
      <alignment horizontal="left" wrapText="1"/>
    </xf>
    <xf numFmtId="0" fontId="40" fillId="0" borderId="1" xfId="0" applyFont="1" applyBorder="1"/>
    <xf numFmtId="0" fontId="41" fillId="0" borderId="1" xfId="0" applyFont="1" applyBorder="1"/>
    <xf numFmtId="0" fontId="36" fillId="0" borderId="1" xfId="0" applyFont="1" applyBorder="1" applyAlignment="1">
      <alignment horizontal="left" vertical="center" wrapText="1"/>
    </xf>
    <xf numFmtId="0" fontId="41" fillId="3" borderId="1" xfId="0" applyFont="1" applyFill="1" applyBorder="1"/>
    <xf numFmtId="0" fontId="37" fillId="5" borderId="1" xfId="0" applyFont="1" applyFill="1" applyBorder="1"/>
    <xf numFmtId="0" fontId="37" fillId="5" borderId="1" xfId="0" applyFont="1" applyFill="1" applyBorder="1" applyAlignment="1">
      <alignment wrapText="1"/>
    </xf>
    <xf numFmtId="0" fontId="37" fillId="0" borderId="10" xfId="0" applyFont="1" applyBorder="1"/>
    <xf numFmtId="0" fontId="37" fillId="0" borderId="11" xfId="0" applyFont="1" applyBorder="1"/>
    <xf numFmtId="0" fontId="37" fillId="0" borderId="12" xfId="0" applyFont="1" applyBorder="1"/>
    <xf numFmtId="0" fontId="36" fillId="4" borderId="1" xfId="0" applyFont="1" applyFill="1" applyBorder="1"/>
    <xf numFmtId="0" fontId="36" fillId="0" borderId="3" xfId="0" applyFont="1" applyBorder="1" applyAlignment="1">
      <alignment horizontal="center" vertical="center" wrapText="1"/>
    </xf>
    <xf numFmtId="0" fontId="37" fillId="0" borderId="1" xfId="0" applyFont="1" applyBorder="1" applyAlignment="1">
      <alignment horizontal="center" vertical="center"/>
    </xf>
    <xf numFmtId="164" fontId="37" fillId="0" borderId="1" xfId="2" applyNumberFormat="1" applyFont="1" applyBorder="1" applyAlignment="1">
      <alignment horizontal="center" vertical="center"/>
    </xf>
    <xf numFmtId="164" fontId="37" fillId="0" borderId="1" xfId="0" applyNumberFormat="1" applyFont="1" applyBorder="1" applyAlignment="1">
      <alignment horizontal="center" vertical="center"/>
    </xf>
    <xf numFmtId="0" fontId="39" fillId="2" borderId="1" xfId="1" applyFont="1" applyBorder="1" applyAlignment="1">
      <alignment horizontal="center" vertical="center"/>
    </xf>
    <xf numFmtId="164" fontId="39" fillId="2" borderId="1" xfId="2" applyNumberFormat="1" applyFont="1" applyFill="1" applyBorder="1" applyAlignment="1">
      <alignment horizontal="center" vertical="center"/>
    </xf>
    <xf numFmtId="164" fontId="37" fillId="0" borderId="1" xfId="2" applyNumberFormat="1" applyFont="1" applyFill="1" applyBorder="1" applyAlignment="1">
      <alignment horizontal="center" vertical="center"/>
    </xf>
    <xf numFmtId="0" fontId="37" fillId="0" borderId="1" xfId="0" applyFont="1" applyBorder="1" applyAlignment="1">
      <alignment horizontal="center" vertical="center" wrapText="1"/>
    </xf>
    <xf numFmtId="164" fontId="41" fillId="0" borderId="1" xfId="2" applyNumberFormat="1" applyFont="1" applyBorder="1" applyAlignment="1">
      <alignment horizontal="center" vertical="center"/>
    </xf>
    <xf numFmtId="0" fontId="37" fillId="6" borderId="1" xfId="0" applyFont="1" applyFill="1" applyBorder="1" applyAlignment="1">
      <alignment horizontal="center" vertical="center"/>
    </xf>
    <xf numFmtId="0" fontId="37" fillId="3" borderId="1" xfId="0" applyFont="1" applyFill="1" applyBorder="1" applyAlignment="1">
      <alignment horizontal="center" vertical="center"/>
    </xf>
    <xf numFmtId="0" fontId="37" fillId="5" borderId="1" xfId="0" applyFont="1" applyFill="1" applyBorder="1" applyAlignment="1">
      <alignment horizontal="center" vertical="center"/>
    </xf>
    <xf numFmtId="0" fontId="36" fillId="4" borderId="1" xfId="0" applyFont="1" applyFill="1" applyBorder="1" applyAlignment="1">
      <alignment horizontal="center" vertical="center"/>
    </xf>
    <xf numFmtId="0" fontId="37" fillId="15" borderId="1" xfId="0" applyFont="1" applyFill="1" applyBorder="1" applyAlignment="1">
      <alignment horizontal="center" vertical="center"/>
    </xf>
    <xf numFmtId="0" fontId="36" fillId="0" borderId="8" xfId="0" applyFont="1" applyBorder="1" applyAlignment="1">
      <alignment horizontal="left" wrapText="1"/>
    </xf>
    <xf numFmtId="164" fontId="37" fillId="15" borderId="1" xfId="0" applyNumberFormat="1" applyFont="1" applyFill="1" applyBorder="1" applyAlignment="1">
      <alignment horizontal="center" vertical="center"/>
    </xf>
    <xf numFmtId="0" fontId="40" fillId="0" borderId="1" xfId="0" applyFont="1" applyBorder="1" applyAlignment="1">
      <alignment wrapText="1"/>
    </xf>
    <xf numFmtId="164" fontId="37" fillId="3" borderId="1" xfId="2" applyNumberFormat="1" applyFont="1" applyFill="1" applyBorder="1" applyAlignment="1">
      <alignment horizontal="center" vertical="center"/>
    </xf>
    <xf numFmtId="164" fontId="37" fillId="3" borderId="1" xfId="0" applyNumberFormat="1" applyFont="1" applyFill="1" applyBorder="1" applyAlignment="1">
      <alignment horizontal="center" vertical="center"/>
    </xf>
    <xf numFmtId="0" fontId="37" fillId="0" borderId="9" xfId="0" applyFont="1" applyFill="1" applyBorder="1"/>
    <xf numFmtId="0" fontId="0" fillId="0" borderId="1" xfId="0" applyBorder="1"/>
    <xf numFmtId="0" fontId="36" fillId="16" borderId="1" xfId="0" applyFont="1" applyFill="1" applyBorder="1"/>
    <xf numFmtId="0" fontId="40" fillId="3" borderId="1" xfId="0" applyFont="1" applyFill="1" applyBorder="1"/>
    <xf numFmtId="0" fontId="40" fillId="0" borderId="1" xfId="0" applyFont="1" applyBorder="1" applyAlignment="1">
      <alignment horizontal="center" vertical="center"/>
    </xf>
    <xf numFmtId="164" fontId="40" fillId="0" borderId="1" xfId="2" applyNumberFormat="1" applyFont="1" applyFill="1" applyBorder="1" applyAlignment="1">
      <alignment horizontal="center" vertical="center"/>
    </xf>
    <xf numFmtId="0" fontId="40" fillId="3" borderId="1" xfId="0" applyFont="1" applyFill="1" applyBorder="1" applyAlignment="1">
      <alignment horizontal="center" vertical="center"/>
    </xf>
    <xf numFmtId="164" fontId="40" fillId="3" borderId="1" xfId="2" applyNumberFormat="1" applyFont="1" applyFill="1" applyBorder="1" applyAlignment="1">
      <alignment horizontal="center" vertical="center"/>
    </xf>
    <xf numFmtId="0" fontId="42" fillId="16" borderId="1" xfId="0" applyFont="1" applyFill="1" applyBorder="1"/>
    <xf numFmtId="0" fontId="42" fillId="16" borderId="1" xfId="0" applyFont="1" applyFill="1" applyBorder="1" applyAlignment="1">
      <alignment horizontal="center" vertical="center"/>
    </xf>
    <xf numFmtId="164" fontId="42" fillId="16" borderId="1" xfId="2" applyNumberFormat="1" applyFont="1" applyFill="1" applyBorder="1" applyAlignment="1">
      <alignment horizontal="center" vertical="center"/>
    </xf>
    <xf numFmtId="164" fontId="42" fillId="16" borderId="1" xfId="0" applyNumberFormat="1" applyFont="1" applyFill="1" applyBorder="1" applyAlignment="1">
      <alignment horizontal="center" vertical="center"/>
    </xf>
    <xf numFmtId="0" fontId="14" fillId="10" borderId="1" xfId="3" applyFont="1" applyFill="1" applyBorder="1" applyAlignment="1">
      <alignment horizontal="left" vertical="center" wrapText="1"/>
    </xf>
    <xf numFmtId="164" fontId="40" fillId="5" borderId="1" xfId="2" applyNumberFormat="1" applyFont="1" applyFill="1" applyBorder="1" applyAlignment="1">
      <alignment horizontal="center" vertical="center"/>
    </xf>
    <xf numFmtId="0" fontId="14" fillId="9" borderId="1" xfId="3" applyFont="1" applyFill="1" applyBorder="1" applyAlignment="1">
      <alignment vertical="center" wrapText="1"/>
    </xf>
    <xf numFmtId="164" fontId="13" fillId="0" borderId="1" xfId="5" applyNumberFormat="1" applyFont="1" applyBorder="1" applyAlignment="1">
      <alignment horizontal="left" vertical="center"/>
    </xf>
    <xf numFmtId="164" fontId="13" fillId="0" borderId="1" xfId="5" applyNumberFormat="1" applyFont="1" applyBorder="1" applyAlignment="1">
      <alignment horizontal="left" vertical="center" wrapText="1"/>
    </xf>
    <xf numFmtId="164" fontId="16" fillId="0" borderId="1" xfId="5" applyNumberFormat="1" applyFont="1" applyBorder="1" applyAlignment="1">
      <alignment vertical="center" wrapText="1"/>
    </xf>
    <xf numFmtId="164" fontId="17" fillId="0" borderId="1" xfId="5" applyNumberFormat="1" applyFont="1" applyBorder="1" applyAlignment="1">
      <alignment vertical="top" wrapText="1"/>
    </xf>
    <xf numFmtId="164" fontId="13" fillId="0" borderId="1" xfId="5" applyNumberFormat="1" applyFont="1" applyBorder="1" applyAlignment="1">
      <alignment horizontal="right" vertical="center"/>
    </xf>
    <xf numFmtId="164" fontId="18" fillId="0" borderId="1" xfId="5" applyNumberFormat="1" applyFont="1" applyBorder="1" applyAlignment="1">
      <alignment horizontal="right" vertical="center"/>
    </xf>
    <xf numFmtId="164" fontId="14" fillId="0" borderId="1" xfId="5" applyNumberFormat="1" applyFont="1" applyBorder="1" applyAlignment="1">
      <alignment horizontal="right" vertical="center"/>
    </xf>
    <xf numFmtId="164" fontId="19" fillId="0" borderId="1" xfId="5" applyNumberFormat="1" applyFont="1" applyBorder="1" applyAlignment="1">
      <alignment vertical="top" wrapText="1"/>
    </xf>
    <xf numFmtId="164" fontId="16" fillId="0" borderId="1" xfId="5" applyNumberFormat="1" applyFont="1" applyBorder="1" applyAlignment="1">
      <alignment horizontal="right" vertical="center"/>
    </xf>
    <xf numFmtId="164" fontId="18" fillId="0" borderId="1" xfId="6" applyNumberFormat="1" applyFont="1" applyBorder="1" applyAlignment="1">
      <alignment horizontal="right" vertical="center" wrapText="1"/>
    </xf>
    <xf numFmtId="164" fontId="18" fillId="0" borderId="12" xfId="6" applyNumberFormat="1" applyFont="1" applyBorder="1" applyAlignment="1">
      <alignment horizontal="right" vertical="center" wrapText="1"/>
    </xf>
    <xf numFmtId="164" fontId="18" fillId="0" borderId="12" xfId="5" applyNumberFormat="1" applyFont="1" applyBorder="1" applyAlignment="1">
      <alignment horizontal="right" vertical="center"/>
    </xf>
    <xf numFmtId="164" fontId="23" fillId="0" borderId="12" xfId="5" applyNumberFormat="1" applyFont="1" applyBorder="1" applyAlignment="1">
      <alignment horizontal="right" vertical="center"/>
    </xf>
    <xf numFmtId="164" fontId="14" fillId="0" borderId="1" xfId="5" applyNumberFormat="1" applyFont="1" applyBorder="1" applyAlignment="1">
      <alignment vertical="center" wrapText="1"/>
    </xf>
    <xf numFmtId="164" fontId="18" fillId="0" borderId="1" xfId="5" applyNumberFormat="1" applyFont="1" applyBorder="1" applyAlignment="1">
      <alignment vertical="center" wrapText="1"/>
    </xf>
    <xf numFmtId="164" fontId="24" fillId="0" borderId="12" xfId="5" applyNumberFormat="1" applyFont="1" applyBorder="1" applyAlignment="1">
      <alignment horizontal="right" vertical="center"/>
    </xf>
    <xf numFmtId="164" fontId="17" fillId="0" borderId="1" xfId="5" applyNumberFormat="1" applyFont="1" applyBorder="1" applyAlignment="1">
      <alignment vertical="top"/>
    </xf>
    <xf numFmtId="164" fontId="13" fillId="0" borderId="1" xfId="5" applyNumberFormat="1" applyFont="1" applyBorder="1" applyAlignment="1">
      <alignment vertical="center"/>
    </xf>
    <xf numFmtId="164" fontId="13" fillId="0" borderId="1" xfId="5" applyNumberFormat="1" applyFont="1" applyBorder="1" applyAlignment="1">
      <alignment vertical="center" wrapText="1"/>
    </xf>
    <xf numFmtId="164" fontId="25" fillId="0" borderId="1" xfId="5" applyNumberFormat="1" applyFont="1" applyBorder="1" applyAlignment="1">
      <alignment horizontal="right" vertical="center"/>
    </xf>
    <xf numFmtId="164" fontId="26" fillId="0" borderId="1" xfId="5" applyNumberFormat="1" applyFont="1" applyBorder="1" applyAlignment="1">
      <alignment horizontal="right" vertical="center"/>
    </xf>
    <xf numFmtId="164" fontId="14" fillId="0" borderId="1" xfId="5" applyNumberFormat="1" applyFont="1" applyBorder="1" applyAlignment="1">
      <alignment horizontal="left" vertical="center"/>
    </xf>
    <xf numFmtId="164" fontId="14" fillId="0" borderId="1" xfId="5" applyNumberFormat="1" applyFont="1" applyBorder="1" applyAlignment="1">
      <alignment vertical="center"/>
    </xf>
    <xf numFmtId="164" fontId="24" fillId="0" borderId="1" xfId="5" applyNumberFormat="1" applyFont="1" applyBorder="1" applyAlignment="1">
      <alignment vertical="center"/>
    </xf>
    <xf numFmtId="164" fontId="24" fillId="0" borderId="1" xfId="5" applyNumberFormat="1" applyFont="1" applyBorder="1" applyAlignment="1">
      <alignment vertical="center" wrapText="1"/>
    </xf>
    <xf numFmtId="164" fontId="24" fillId="0" borderId="1" xfId="5" applyNumberFormat="1" applyFont="1" applyBorder="1" applyAlignment="1">
      <alignment vertical="top" wrapText="1"/>
    </xf>
    <xf numFmtId="0" fontId="13" fillId="9" borderId="10" xfId="3" applyFont="1" applyFill="1" applyBorder="1" applyAlignment="1">
      <alignment vertical="center"/>
    </xf>
    <xf numFmtId="0" fontId="14" fillId="10" borderId="1" xfId="3" applyFont="1" applyFill="1" applyBorder="1" applyAlignment="1">
      <alignment vertical="center" wrapText="1"/>
    </xf>
    <xf numFmtId="164" fontId="18" fillId="0" borderId="1" xfId="6" applyNumberFormat="1" applyFont="1" applyBorder="1" applyAlignment="1">
      <alignment horizontal="right" vertical="center" indent="2"/>
    </xf>
    <xf numFmtId="164" fontId="18" fillId="0" borderId="1" xfId="6" applyNumberFormat="1" applyFont="1" applyBorder="1" applyAlignment="1">
      <alignment horizontal="right" vertical="center"/>
    </xf>
    <xf numFmtId="43" fontId="18" fillId="0" borderId="1" xfId="6" applyFont="1" applyBorder="1" applyAlignment="1">
      <alignment horizontal="right" vertical="center"/>
    </xf>
    <xf numFmtId="164" fontId="27" fillId="0" borderId="1" xfId="5" applyNumberFormat="1" applyFont="1" applyBorder="1" applyAlignment="1">
      <alignment horizontal="right" vertical="center"/>
    </xf>
    <xf numFmtId="164" fontId="16" fillId="0" borderId="1" xfId="5" applyNumberFormat="1" applyFont="1" applyBorder="1" applyAlignment="1">
      <alignment vertical="center"/>
    </xf>
    <xf numFmtId="164" fontId="13" fillId="0" borderId="7" xfId="5" applyNumberFormat="1" applyFont="1" applyBorder="1" applyAlignment="1">
      <alignment horizontal="right" vertical="center"/>
    </xf>
    <xf numFmtId="0" fontId="14" fillId="7" borderId="10" xfId="3" applyFont="1" applyFill="1" applyBorder="1" applyAlignment="1">
      <alignment vertical="center"/>
    </xf>
    <xf numFmtId="0" fontId="14" fillId="7" borderId="11" xfId="3" applyFont="1" applyFill="1" applyBorder="1" applyAlignment="1">
      <alignment vertical="center"/>
    </xf>
    <xf numFmtId="164" fontId="18" fillId="0" borderId="8" xfId="5" applyNumberFormat="1" applyFont="1" applyBorder="1" applyAlignment="1">
      <alignment horizontal="right" vertical="center"/>
    </xf>
    <xf numFmtId="164" fontId="14" fillId="0" borderId="8" xfId="6" applyNumberFormat="1" applyFont="1" applyBorder="1" applyAlignment="1">
      <alignment horizontal="right" vertical="center" wrapText="1"/>
    </xf>
    <xf numFmtId="164" fontId="16" fillId="0" borderId="8" xfId="5" applyNumberFormat="1" applyFont="1" applyBorder="1" applyAlignment="1">
      <alignment horizontal="right" vertical="center"/>
    </xf>
    <xf numFmtId="164" fontId="13" fillId="0" borderId="8" xfId="5" applyNumberFormat="1" applyFont="1" applyBorder="1" applyAlignment="1">
      <alignment horizontal="right" vertical="center"/>
    </xf>
    <xf numFmtId="164" fontId="14" fillId="0" borderId="1" xfId="6" applyNumberFormat="1" applyFont="1" applyBorder="1" applyAlignment="1">
      <alignment horizontal="right" vertical="center" wrapText="1"/>
    </xf>
    <xf numFmtId="0" fontId="13" fillId="9" borderId="10" xfId="3" applyFont="1" applyFill="1" applyBorder="1" applyAlignment="1">
      <alignment vertical="center" wrapText="1"/>
    </xf>
    <xf numFmtId="0" fontId="13" fillId="9" borderId="11" xfId="3" applyFont="1" applyFill="1" applyBorder="1" applyAlignment="1">
      <alignment vertical="center" wrapText="1"/>
    </xf>
    <xf numFmtId="0" fontId="14" fillId="10" borderId="11" xfId="3" applyFont="1" applyFill="1" applyBorder="1" applyAlignment="1">
      <alignment vertical="center" wrapText="1"/>
    </xf>
    <xf numFmtId="164" fontId="24" fillId="0" borderId="1" xfId="5" applyNumberFormat="1" applyFont="1" applyBorder="1" applyAlignment="1">
      <alignment horizontal="right" vertical="center"/>
    </xf>
    <xf numFmtId="0" fontId="27" fillId="0" borderId="7" xfId="3" applyFont="1" applyBorder="1" applyAlignment="1">
      <alignment vertical="center" wrapText="1"/>
    </xf>
    <xf numFmtId="0" fontId="27" fillId="0" borderId="8" xfId="3" applyFont="1" applyBorder="1" applyAlignment="1">
      <alignment vertical="center" wrapText="1"/>
    </xf>
    <xf numFmtId="164" fontId="18" fillId="0" borderId="1" xfId="5" applyNumberFormat="1" applyFont="1" applyBorder="1" applyAlignment="1">
      <alignment vertical="center"/>
    </xf>
    <xf numFmtId="164" fontId="18" fillId="0" borderId="1" xfId="5" applyNumberFormat="1" applyFont="1" applyBorder="1" applyAlignment="1">
      <alignment horizontal="right" vertical="center" wrapText="1"/>
    </xf>
    <xf numFmtId="0" fontId="37" fillId="3" borderId="1" xfId="0" applyFont="1" applyFill="1" applyBorder="1" applyAlignment="1">
      <alignment vertical="center" wrapText="1"/>
    </xf>
    <xf numFmtId="0" fontId="37" fillId="3" borderId="1" xfId="0" applyFont="1" applyFill="1" applyBorder="1" applyAlignment="1">
      <alignment vertical="center"/>
    </xf>
    <xf numFmtId="164" fontId="41" fillId="3" borderId="1" xfId="2" applyNumberFormat="1" applyFont="1" applyFill="1" applyBorder="1" applyAlignment="1">
      <alignment horizontal="center" vertical="center"/>
    </xf>
    <xf numFmtId="0" fontId="0" fillId="3" borderId="1" xfId="0" applyFill="1" applyBorder="1"/>
    <xf numFmtId="43" fontId="2" fillId="3" borderId="0" xfId="0" applyNumberFormat="1" applyFont="1" applyFill="1"/>
    <xf numFmtId="164" fontId="2" fillId="3" borderId="0" xfId="2" applyNumberFormat="1" applyFont="1" applyFill="1"/>
    <xf numFmtId="0" fontId="6" fillId="3" borderId="0" xfId="0" applyFont="1" applyFill="1" applyAlignment="1"/>
    <xf numFmtId="0" fontId="39" fillId="15" borderId="1" xfId="1" applyFont="1" applyFill="1" applyBorder="1" applyAlignment="1"/>
    <xf numFmtId="164" fontId="39" fillId="15" borderId="1" xfId="2" applyNumberFormat="1" applyFont="1" applyFill="1" applyBorder="1" applyAlignment="1"/>
    <xf numFmtId="164" fontId="39" fillId="15" borderId="1" xfId="2" applyNumberFormat="1" applyFont="1" applyFill="1" applyBorder="1" applyAlignment="1">
      <alignment horizontal="center" vertical="center"/>
    </xf>
    <xf numFmtId="0" fontId="39" fillId="15" borderId="1" xfId="1" applyFont="1" applyFill="1" applyBorder="1" applyAlignment="1">
      <alignment horizontal="center" vertical="center"/>
    </xf>
    <xf numFmtId="0" fontId="40" fillId="5" borderId="1" xfId="0" applyFont="1" applyFill="1" applyBorder="1" applyAlignment="1">
      <alignment horizontal="left"/>
    </xf>
    <xf numFmtId="0" fontId="41" fillId="5" borderId="1" xfId="0" applyFont="1" applyFill="1" applyBorder="1"/>
    <xf numFmtId="0" fontId="40" fillId="5" borderId="1" xfId="0" applyFont="1" applyFill="1" applyBorder="1"/>
    <xf numFmtId="0" fontId="40" fillId="5" borderId="1" xfId="0" applyFont="1" applyFill="1" applyBorder="1" applyAlignment="1">
      <alignment horizontal="center" vertical="center"/>
    </xf>
    <xf numFmtId="164" fontId="40" fillId="5" borderId="1" xfId="0" applyNumberFormat="1" applyFont="1" applyFill="1" applyBorder="1" applyAlignment="1">
      <alignment horizontal="center" vertical="center"/>
    </xf>
    <xf numFmtId="0" fontId="41" fillId="5" borderId="1" xfId="0" applyFont="1" applyFill="1" applyBorder="1" applyAlignment="1">
      <alignment horizontal="left" wrapText="1"/>
    </xf>
    <xf numFmtId="164" fontId="40" fillId="3" borderId="1" xfId="0" applyNumberFormat="1" applyFont="1" applyFill="1" applyBorder="1" applyAlignment="1">
      <alignment horizontal="center" vertical="center"/>
    </xf>
    <xf numFmtId="0" fontId="14" fillId="7" borderId="1" xfId="3" applyFont="1" applyFill="1" applyBorder="1" applyAlignment="1">
      <alignment horizontal="left" vertical="center"/>
    </xf>
    <xf numFmtId="0" fontId="13" fillId="7" borderId="1" xfId="3" applyFont="1" applyFill="1" applyBorder="1" applyAlignment="1">
      <alignment horizontal="center" vertical="center" wrapText="1"/>
    </xf>
    <xf numFmtId="0" fontId="14" fillId="9" borderId="1" xfId="3" applyFont="1" applyFill="1" applyBorder="1" applyAlignment="1">
      <alignment horizontal="left" vertical="center" wrapText="1"/>
    </xf>
    <xf numFmtId="0" fontId="13" fillId="7" borderId="1" xfId="3" applyFont="1" applyFill="1" applyBorder="1" applyAlignment="1">
      <alignment horizontal="center" vertical="center"/>
    </xf>
    <xf numFmtId="0" fontId="0" fillId="0" borderId="0" xfId="0" applyAlignment="1"/>
    <xf numFmtId="0" fontId="0" fillId="0" borderId="1" xfId="0" applyBorder="1" applyAlignment="1">
      <alignment vertical="center" wrapText="1"/>
    </xf>
    <xf numFmtId="0" fontId="0" fillId="0" borderId="1" xfId="0" applyBorder="1" applyAlignment="1">
      <alignment vertical="center"/>
    </xf>
    <xf numFmtId="0" fontId="0" fillId="0" borderId="1" xfId="0" applyBorder="1" applyAlignment="1">
      <alignment wrapText="1"/>
    </xf>
    <xf numFmtId="0" fontId="0" fillId="16" borderId="1" xfId="0" applyFill="1" applyBorder="1"/>
    <xf numFmtId="0" fontId="0" fillId="17" borderId="1" xfId="0" applyFill="1" applyBorder="1"/>
    <xf numFmtId="164" fontId="0" fillId="17" borderId="1" xfId="2" applyNumberFormat="1" applyFont="1" applyFill="1" applyBorder="1"/>
    <xf numFmtId="164" fontId="0" fillId="16" borderId="1" xfId="2" applyNumberFormat="1" applyFont="1" applyFill="1" applyBorder="1"/>
    <xf numFmtId="0" fontId="0" fillId="4" borderId="1" xfId="0" applyFill="1" applyBorder="1"/>
    <xf numFmtId="164" fontId="0" fillId="4" borderId="1" xfId="2" applyNumberFormat="1" applyFont="1" applyFill="1" applyBorder="1"/>
    <xf numFmtId="0" fontId="0" fillId="18" borderId="1" xfId="0" applyFill="1" applyBorder="1"/>
    <xf numFmtId="164" fontId="0" fillId="18" borderId="1" xfId="2" applyNumberFormat="1" applyFont="1" applyFill="1" applyBorder="1"/>
    <xf numFmtId="0" fontId="10" fillId="0" borderId="0" xfId="7" applyFont="1"/>
    <xf numFmtId="164" fontId="10" fillId="0" borderId="0" xfId="7" applyNumberFormat="1" applyFont="1"/>
    <xf numFmtId="164" fontId="15" fillId="12" borderId="1" xfId="6" applyNumberFormat="1" applyFont="1" applyFill="1" applyBorder="1" applyAlignment="1">
      <alignment vertical="center"/>
    </xf>
    <xf numFmtId="0" fontId="10" fillId="0" borderId="0" xfId="7" applyFont="1" applyAlignment="1">
      <alignment horizontal="center" vertical="center"/>
    </xf>
    <xf numFmtId="164" fontId="13" fillId="10" borderId="1" xfId="6" applyNumberFormat="1" applyFont="1" applyFill="1" applyBorder="1" applyAlignment="1">
      <alignment horizontal="center" vertical="center"/>
    </xf>
    <xf numFmtId="164" fontId="13" fillId="7" borderId="1" xfId="6" applyNumberFormat="1" applyFont="1" applyFill="1" applyBorder="1" applyAlignment="1">
      <alignment horizontal="right" vertical="center"/>
    </xf>
    <xf numFmtId="164" fontId="13" fillId="0" borderId="1" xfId="7" applyNumberFormat="1" applyFont="1" applyBorder="1"/>
    <xf numFmtId="0" fontId="43" fillId="0" borderId="0" xfId="7" applyFont="1"/>
    <xf numFmtId="164" fontId="13" fillId="5" borderId="1" xfId="7" applyNumberFormat="1" applyFont="1" applyFill="1" applyBorder="1"/>
    <xf numFmtId="0" fontId="11" fillId="0" borderId="0" xfId="7" applyFont="1"/>
    <xf numFmtId="0" fontId="14" fillId="10" borderId="0" xfId="3" applyFont="1" applyFill="1" applyAlignment="1">
      <alignment vertical="center" wrapText="1"/>
    </xf>
    <xf numFmtId="164" fontId="14" fillId="7" borderId="1" xfId="6" applyNumberFormat="1" applyFont="1" applyFill="1" applyBorder="1" applyAlignment="1">
      <alignment horizontal="right" vertical="center"/>
    </xf>
    <xf numFmtId="164" fontId="16" fillId="0" borderId="1" xfId="7" applyNumberFormat="1" applyFont="1" applyBorder="1"/>
    <xf numFmtId="164" fontId="16" fillId="5" borderId="1" xfId="7" applyNumberFormat="1" applyFont="1" applyFill="1" applyBorder="1"/>
    <xf numFmtId="0" fontId="28" fillId="0" borderId="0" xfId="7" applyFont="1"/>
    <xf numFmtId="0" fontId="10" fillId="0" borderId="0" xfId="7" applyFont="1" applyAlignment="1">
      <alignment wrapText="1"/>
    </xf>
    <xf numFmtId="0" fontId="31" fillId="0" borderId="0" xfId="3" applyFont="1" applyAlignment="1">
      <alignment horizontal="center" vertical="center"/>
    </xf>
    <xf numFmtId="0" fontId="13" fillId="9" borderId="11" xfId="7" applyFont="1" applyFill="1" applyBorder="1" applyAlignment="1">
      <alignment vertical="center" wrapText="1"/>
    </xf>
    <xf numFmtId="43" fontId="10" fillId="0" borderId="0" xfId="7" applyNumberFormat="1" applyFont="1"/>
    <xf numFmtId="164" fontId="13" fillId="10" borderId="1" xfId="6" applyNumberFormat="1" applyFont="1" applyFill="1" applyBorder="1" applyAlignment="1">
      <alignment vertical="center"/>
    </xf>
    <xf numFmtId="0" fontId="13" fillId="0" borderId="1" xfId="7" applyFont="1" applyBorder="1"/>
    <xf numFmtId="0" fontId="14" fillId="7" borderId="11" xfId="7" applyFont="1" applyFill="1" applyBorder="1" applyAlignment="1">
      <alignment vertical="center"/>
    </xf>
    <xf numFmtId="164" fontId="13" fillId="10" borderId="7" xfId="6" applyNumberFormat="1" applyFont="1" applyFill="1" applyBorder="1" applyAlignment="1">
      <alignment horizontal="right" vertical="center"/>
    </xf>
    <xf numFmtId="0" fontId="30" fillId="0" borderId="0" xfId="7" applyFont="1"/>
    <xf numFmtId="0" fontId="13" fillId="9" borderId="11" xfId="7" applyFont="1" applyFill="1" applyBorder="1" applyAlignment="1">
      <alignment vertical="center"/>
    </xf>
    <xf numFmtId="164" fontId="27" fillId="0" borderId="1" xfId="7" applyNumberFormat="1" applyFont="1" applyBorder="1" applyAlignment="1">
      <alignment vertical="center"/>
    </xf>
    <xf numFmtId="164" fontId="18" fillId="5" borderId="1" xfId="7" applyNumberFormat="1" applyFont="1" applyFill="1" applyBorder="1" applyAlignment="1">
      <alignment vertical="center"/>
    </xf>
    <xf numFmtId="164" fontId="18" fillId="0" borderId="1" xfId="7" applyNumberFormat="1" applyFont="1" applyBorder="1" applyAlignment="1">
      <alignment vertical="center"/>
    </xf>
    <xf numFmtId="0" fontId="14" fillId="10" borderId="1" xfId="7" applyFont="1" applyFill="1" applyBorder="1" applyAlignment="1">
      <alignment vertical="center" wrapText="1"/>
    </xf>
    <xf numFmtId="0" fontId="10" fillId="0" borderId="0" xfId="7" applyFont="1" applyAlignment="1">
      <alignment vertical="center"/>
    </xf>
    <xf numFmtId="0" fontId="13" fillId="9" borderId="1" xfId="7" applyFont="1" applyFill="1" applyBorder="1" applyAlignment="1">
      <alignment vertical="center"/>
    </xf>
    <xf numFmtId="164" fontId="16" fillId="10" borderId="1" xfId="6" applyNumberFormat="1" applyFont="1" applyFill="1" applyBorder="1" applyAlignment="1">
      <alignment vertical="center"/>
    </xf>
    <xf numFmtId="0" fontId="28" fillId="0" borderId="0" xfId="7" applyFont="1" applyAlignment="1">
      <alignment vertical="center"/>
    </xf>
    <xf numFmtId="164" fontId="16" fillId="5" borderId="1" xfId="7" applyNumberFormat="1" applyFont="1" applyFill="1" applyBorder="1" applyAlignment="1">
      <alignment vertical="center"/>
    </xf>
    <xf numFmtId="164" fontId="16" fillId="0" borderId="1" xfId="7" applyNumberFormat="1" applyFont="1" applyBorder="1" applyAlignment="1">
      <alignment vertical="center"/>
    </xf>
    <xf numFmtId="164" fontId="43" fillId="0" borderId="0" xfId="7" applyNumberFormat="1" applyFont="1"/>
    <xf numFmtId="0" fontId="13" fillId="7" borderId="1" xfId="7" applyFont="1" applyFill="1" applyBorder="1" applyAlignment="1">
      <alignment horizontal="center" vertical="center" wrapText="1"/>
    </xf>
    <xf numFmtId="14" fontId="13" fillId="14" borderId="1" xfId="7" applyNumberFormat="1" applyFont="1" applyFill="1" applyBorder="1" applyAlignment="1">
      <alignment horizontal="center" vertical="center" wrapText="1"/>
    </xf>
    <xf numFmtId="0" fontId="12" fillId="7" borderId="1" xfId="3" applyFont="1" applyFill="1" applyBorder="1"/>
    <xf numFmtId="0" fontId="10" fillId="8" borderId="1" xfId="7" applyFont="1" applyFill="1" applyBorder="1" applyAlignment="1">
      <alignment vertical="center"/>
    </xf>
    <xf numFmtId="164" fontId="36" fillId="0" borderId="13" xfId="2" applyNumberFormat="1" applyFont="1" applyBorder="1" applyAlignment="1">
      <alignment horizontal="center" vertical="center" wrapText="1"/>
    </xf>
    <xf numFmtId="164" fontId="36" fillId="0" borderId="14" xfId="2" applyNumberFormat="1" applyFont="1" applyBorder="1" applyAlignment="1">
      <alignment horizontal="center" vertical="center" wrapText="1"/>
    </xf>
    <xf numFmtId="0" fontId="36" fillId="16" borderId="10" xfId="0" applyFont="1" applyFill="1" applyBorder="1" applyAlignment="1">
      <alignment horizontal="center"/>
    </xf>
    <xf numFmtId="0" fontId="36" fillId="16" borderId="11" xfId="0" applyFont="1" applyFill="1" applyBorder="1" applyAlignment="1">
      <alignment horizontal="center"/>
    </xf>
    <xf numFmtId="0" fontId="36" fillId="16" borderId="12" xfId="0" applyFont="1" applyFill="1" applyBorder="1" applyAlignment="1">
      <alignment horizontal="center"/>
    </xf>
    <xf numFmtId="0" fontId="7" fillId="0" borderId="0" xfId="0" applyFont="1" applyAlignment="1">
      <alignment horizontal="center"/>
    </xf>
    <xf numFmtId="0" fontId="36" fillId="0" borderId="4" xfId="0" applyFont="1" applyBorder="1" applyAlignment="1">
      <alignment horizontal="center" vertical="center"/>
    </xf>
    <xf numFmtId="0" fontId="36" fillId="0" borderId="5" xfId="0" applyFont="1" applyBorder="1" applyAlignment="1">
      <alignment horizontal="center" vertical="center"/>
    </xf>
    <xf numFmtId="0" fontId="36" fillId="0" borderId="7" xfId="0" applyFont="1" applyBorder="1" applyAlignment="1">
      <alignment horizontal="left" wrapText="1"/>
    </xf>
    <xf numFmtId="0" fontId="36" fillId="0" borderId="8" xfId="0" applyFont="1" applyBorder="1" applyAlignment="1">
      <alignment horizontal="left" wrapText="1"/>
    </xf>
    <xf numFmtId="0" fontId="36" fillId="0" borderId="7" xfId="0" applyFont="1" applyBorder="1" applyAlignment="1">
      <alignment horizontal="left" vertical="center" wrapText="1"/>
    </xf>
    <xf numFmtId="0" fontId="36" fillId="0" borderId="9" xfId="0" applyFont="1" applyBorder="1" applyAlignment="1">
      <alignment horizontal="left" vertical="center" wrapText="1"/>
    </xf>
    <xf numFmtId="0" fontId="36" fillId="0" borderId="8" xfId="0" applyFont="1" applyBorder="1" applyAlignment="1">
      <alignment horizontal="left" vertical="center" wrapText="1"/>
    </xf>
    <xf numFmtId="0" fontId="14" fillId="3" borderId="1" xfId="3" applyFont="1" applyFill="1" applyBorder="1" applyAlignment="1">
      <alignment horizontal="left" vertical="center"/>
    </xf>
    <xf numFmtId="0" fontId="14" fillId="3" borderId="1" xfId="3" applyFont="1" applyFill="1" applyBorder="1" applyAlignment="1">
      <alignment horizontal="left" vertical="center" wrapText="1"/>
    </xf>
    <xf numFmtId="164" fontId="14" fillId="3" borderId="1" xfId="3" applyNumberFormat="1" applyFont="1" applyFill="1" applyBorder="1" applyAlignment="1">
      <alignment horizontal="left" vertical="center"/>
    </xf>
    <xf numFmtId="0" fontId="14" fillId="3" borderId="1" xfId="3" applyFont="1" applyFill="1" applyBorder="1" applyAlignment="1">
      <alignment horizontal="center" vertical="center" wrapText="1"/>
    </xf>
    <xf numFmtId="43" fontId="14" fillId="3" borderId="1" xfId="3" applyNumberFormat="1" applyFont="1" applyFill="1" applyBorder="1" applyAlignment="1">
      <alignment horizontal="left" vertical="center"/>
    </xf>
    <xf numFmtId="0" fontId="13" fillId="7" borderId="1" xfId="3" applyFont="1" applyFill="1" applyBorder="1" applyAlignment="1">
      <alignment horizontal="center" vertical="center" wrapText="1"/>
    </xf>
    <xf numFmtId="0" fontId="14" fillId="9" borderId="1" xfId="3" applyFont="1" applyFill="1" applyBorder="1" applyAlignment="1">
      <alignment horizontal="left" vertical="center" wrapText="1"/>
    </xf>
    <xf numFmtId="0" fontId="10" fillId="8" borderId="1" xfId="3" applyFont="1" applyFill="1" applyBorder="1" applyAlignment="1">
      <alignment horizontal="left"/>
    </xf>
    <xf numFmtId="0" fontId="12" fillId="7" borderId="1" xfId="3" applyFont="1" applyFill="1" applyBorder="1" applyAlignment="1">
      <alignment horizontal="left" vertical="center"/>
    </xf>
    <xf numFmtId="0" fontId="12" fillId="7" borderId="7" xfId="3" applyFont="1" applyFill="1" applyBorder="1" applyAlignment="1">
      <alignment horizontal="left" vertical="top" wrapText="1"/>
    </xf>
    <xf numFmtId="0" fontId="13" fillId="7" borderId="1" xfId="3" applyFont="1" applyFill="1" applyBorder="1" applyAlignment="1">
      <alignment horizontal="center" vertical="center"/>
    </xf>
    <xf numFmtId="0" fontId="13" fillId="7" borderId="1" xfId="3" applyFont="1" applyFill="1" applyBorder="1" applyAlignment="1">
      <alignment horizontal="left" vertical="center"/>
    </xf>
    <xf numFmtId="0" fontId="13" fillId="10" borderId="1" xfId="3" applyFont="1" applyFill="1" applyBorder="1" applyAlignment="1">
      <alignment horizontal="left" vertical="center"/>
    </xf>
    <xf numFmtId="164" fontId="15" fillId="12" borderId="1" xfId="3" applyNumberFormat="1" applyFont="1" applyFill="1" applyBorder="1" applyAlignment="1">
      <alignment horizontal="left" vertical="center"/>
    </xf>
    <xf numFmtId="0" fontId="13" fillId="7" borderId="7" xfId="3" applyFont="1" applyFill="1" applyBorder="1" applyAlignment="1">
      <alignment horizontal="center" vertical="center" wrapText="1"/>
    </xf>
    <xf numFmtId="0" fontId="13" fillId="7" borderId="8" xfId="3" applyFont="1" applyFill="1" applyBorder="1" applyAlignment="1">
      <alignment horizontal="center" vertical="center" wrapText="1"/>
    </xf>
    <xf numFmtId="0" fontId="13" fillId="10" borderId="10" xfId="3" applyFont="1" applyFill="1" applyBorder="1" applyAlignment="1">
      <alignment horizontal="left" vertical="center"/>
    </xf>
    <xf numFmtId="0" fontId="13" fillId="10" borderId="11" xfId="3" applyFont="1" applyFill="1" applyBorder="1" applyAlignment="1">
      <alignment horizontal="left" vertical="center"/>
    </xf>
    <xf numFmtId="0" fontId="13" fillId="10" borderId="12" xfId="3" applyFont="1" applyFill="1" applyBorder="1" applyAlignment="1">
      <alignment horizontal="left" vertical="center"/>
    </xf>
    <xf numFmtId="43" fontId="13" fillId="10" borderId="1" xfId="3" applyNumberFormat="1" applyFont="1" applyFill="1" applyBorder="1" applyAlignment="1">
      <alignment horizontal="left" vertical="center"/>
    </xf>
    <xf numFmtId="0" fontId="14" fillId="10" borderId="10" xfId="3" applyFont="1" applyFill="1" applyBorder="1" applyAlignment="1">
      <alignment horizontal="left" vertical="center" wrapText="1"/>
    </xf>
    <xf numFmtId="0" fontId="14" fillId="10" borderId="11" xfId="3" applyFont="1" applyFill="1" applyBorder="1" applyAlignment="1">
      <alignment horizontal="left" vertical="center" wrapText="1"/>
    </xf>
    <xf numFmtId="0" fontId="14" fillId="7" borderId="1" xfId="3" applyFont="1" applyFill="1" applyBorder="1" applyAlignment="1">
      <alignment horizontal="left" vertical="center"/>
    </xf>
    <xf numFmtId="0" fontId="10" fillId="8" borderId="1" xfId="3" applyFont="1" applyFill="1" applyBorder="1" applyAlignment="1">
      <alignment horizontal="left" vertical="center"/>
    </xf>
    <xf numFmtId="0" fontId="12" fillId="7" borderId="1" xfId="3" applyFont="1" applyFill="1" applyBorder="1" applyAlignment="1">
      <alignment horizontal="left" vertical="top" wrapText="1"/>
    </xf>
    <xf numFmtId="0" fontId="13" fillId="7" borderId="7" xfId="3" applyFont="1" applyFill="1" applyBorder="1" applyAlignment="1">
      <alignment horizontal="center" vertical="center"/>
    </xf>
    <xf numFmtId="0" fontId="13" fillId="7" borderId="8" xfId="3" applyFont="1" applyFill="1" applyBorder="1" applyAlignment="1">
      <alignment horizontal="center" vertical="center"/>
    </xf>
    <xf numFmtId="0" fontId="0" fillId="18" borderId="1" xfId="0" applyFill="1" applyBorder="1" applyAlignment="1">
      <alignment horizontal="left"/>
    </xf>
    <xf numFmtId="0" fontId="0" fillId="17" borderId="10" xfId="0" applyFill="1" applyBorder="1" applyAlignment="1">
      <alignment horizontal="center"/>
    </xf>
    <xf numFmtId="0" fontId="0" fillId="17" borderId="12" xfId="0" applyFill="1" applyBorder="1" applyAlignment="1">
      <alignment horizontal="center"/>
    </xf>
    <xf numFmtId="0" fontId="0" fillId="4" borderId="1" xfId="0" applyFill="1" applyBorder="1" applyAlignment="1">
      <alignment horizontal="center"/>
    </xf>
    <xf numFmtId="0" fontId="0" fillId="16" borderId="1" xfId="0" applyFill="1" applyBorder="1" applyAlignment="1">
      <alignment horizontal="center"/>
    </xf>
    <xf numFmtId="0" fontId="0" fillId="16" borderId="1" xfId="0" applyFill="1" applyBorder="1" applyAlignment="1">
      <alignment horizontal="left"/>
    </xf>
    <xf numFmtId="0" fontId="0" fillId="4" borderId="1" xfId="0" applyFill="1" applyBorder="1" applyAlignment="1">
      <alignment horizontal="left"/>
    </xf>
    <xf numFmtId="0" fontId="0" fillId="18" borderId="1" xfId="0" applyFill="1" applyBorder="1" applyAlignment="1">
      <alignment horizontal="center"/>
    </xf>
  </cellXfs>
  <cellStyles count="8">
    <cellStyle name="Comma" xfId="2" builtinId="3"/>
    <cellStyle name="Comma 2" xfId="5" xr:uid="{4DD04BE1-C6CD-4719-9840-AC3ED055CFE1}"/>
    <cellStyle name="Comma 2 2" xfId="6" xr:uid="{3E1DBE9F-FEE0-4ADC-B718-F21776B3B1F8}"/>
    <cellStyle name="Neutral" xfId="1" builtinId="28"/>
    <cellStyle name="Normal" xfId="0" builtinId="0"/>
    <cellStyle name="Normal 2" xfId="3" xr:uid="{8CF1EDBB-F5CF-4D33-BF4B-E1755B1B2C04}"/>
    <cellStyle name="Normal 2 2" xfId="4" xr:uid="{9B39FE5A-B053-433A-8EBB-7B5723C387AE}"/>
    <cellStyle name="Normal 2 5" xfId="7" xr:uid="{E964E46C-CA8C-482C-9C07-926D770D83B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S283"/>
  <sheetViews>
    <sheetView topLeftCell="A4" zoomScale="80" zoomScaleNormal="80" workbookViewId="0">
      <pane xSplit="3" ySplit="2" topLeftCell="R48" activePane="bottomRight" state="frozen"/>
      <selection activeCell="A4" sqref="A4"/>
      <selection pane="topRight" activeCell="D4" sqref="D4"/>
      <selection pane="bottomLeft" activeCell="A6" sqref="A6"/>
      <selection pane="bottomRight" activeCell="AK75" sqref="AK75"/>
    </sheetView>
  </sheetViews>
  <sheetFormatPr defaultColWidth="8.875" defaultRowHeight="18.75" x14ac:dyDescent="0.3"/>
  <cols>
    <col min="1" max="1" width="5.75" style="1" hidden="1" customWidth="1"/>
    <col min="2" max="2" width="11.625" style="1" hidden="1" customWidth="1"/>
    <col min="3" max="3" width="50.25" style="1" customWidth="1"/>
    <col min="4" max="4" width="55.625" style="1" hidden="1" customWidth="1"/>
    <col min="5" max="5" width="49.875" style="1" hidden="1" customWidth="1"/>
    <col min="6" max="6" width="45.875" style="1" hidden="1" customWidth="1"/>
    <col min="7" max="7" width="35.875" style="1" hidden="1" customWidth="1"/>
    <col min="8" max="8" width="46.625" style="1" hidden="1" customWidth="1"/>
    <col min="9" max="9" width="23.125" style="1" hidden="1" customWidth="1"/>
    <col min="10" max="10" width="8.625" style="1" hidden="1" customWidth="1"/>
    <col min="11" max="11" width="9.375" style="1" hidden="1" customWidth="1"/>
    <col min="12" max="12" width="8.5" style="1" hidden="1" customWidth="1"/>
    <col min="13" max="13" width="8.75" style="1" hidden="1" customWidth="1"/>
    <col min="14" max="14" width="9.875" style="1" customWidth="1"/>
    <col min="15" max="15" width="8.125" style="1" customWidth="1"/>
    <col min="16" max="16" width="8.25" style="1" customWidth="1"/>
    <col min="17" max="17" width="8.75" style="1" customWidth="1"/>
    <col min="18" max="18" width="10.5" style="1" customWidth="1"/>
    <col min="19" max="19" width="9.5" style="1" customWidth="1"/>
    <col min="20" max="20" width="9.875" style="1" customWidth="1"/>
    <col min="21" max="21" width="9.125" style="1" customWidth="1"/>
    <col min="22" max="23" width="9.875" style="1" customWidth="1"/>
    <col min="24" max="27" width="9.125" style="1" customWidth="1"/>
    <col min="28" max="28" width="11.5" style="1" customWidth="1"/>
    <col min="29" max="30" width="9.125" style="1" customWidth="1"/>
    <col min="31" max="31" width="9" style="1" customWidth="1"/>
    <col min="32" max="32" width="7.125" style="1" customWidth="1"/>
    <col min="33" max="33" width="11.625" style="1" customWidth="1"/>
    <col min="34" max="34" width="17.5" style="1" customWidth="1"/>
    <col min="35" max="35" width="13.125" style="233" customWidth="1"/>
    <col min="36" max="36" width="11.75" style="2" customWidth="1"/>
    <col min="37" max="38" width="10.75" style="2" customWidth="1"/>
    <col min="39" max="39" width="11.75" style="2" customWidth="1"/>
    <col min="40" max="40" width="16.5" style="1" customWidth="1"/>
    <col min="41" max="41" width="24.875" style="1" hidden="1" customWidth="1"/>
    <col min="42" max="42" width="18.625" style="1" hidden="1" customWidth="1"/>
    <col min="43" max="43" width="29" style="1" hidden="1" customWidth="1"/>
    <col min="44" max="44" width="32.375" style="1" hidden="1" customWidth="1"/>
    <col min="45" max="45" width="33.125" style="1" hidden="1" customWidth="1"/>
    <col min="46" max="16384" width="8.875" style="1"/>
  </cols>
  <sheetData>
    <row r="1" spans="1:45" ht="13.15" hidden="1" customHeight="1" x14ac:dyDescent="0.3"/>
    <row r="2" spans="1:45" ht="71.25" hidden="1" thickBot="1" x14ac:dyDescent="1.05">
      <c r="B2" s="4"/>
      <c r="C2" s="4"/>
      <c r="D2" s="307" t="s">
        <v>172</v>
      </c>
      <c r="E2" s="307"/>
      <c r="F2" s="307"/>
      <c r="G2" s="307"/>
      <c r="H2" s="307"/>
      <c r="I2" s="4"/>
      <c r="J2" s="4"/>
      <c r="K2" s="4"/>
      <c r="L2" s="4"/>
      <c r="M2" s="4"/>
      <c r="N2" s="4"/>
      <c r="O2" s="4"/>
      <c r="P2" s="4"/>
      <c r="Q2" s="4"/>
      <c r="R2" s="4"/>
      <c r="S2" s="4"/>
      <c r="T2" s="4"/>
      <c r="U2" s="4"/>
      <c r="V2" s="4"/>
      <c r="W2" s="4"/>
      <c r="X2" s="4"/>
      <c r="Y2" s="4"/>
      <c r="Z2" s="4"/>
      <c r="AA2" s="4"/>
      <c r="AB2" s="4"/>
      <c r="AC2" s="4"/>
      <c r="AD2" s="4"/>
      <c r="AE2" s="4"/>
      <c r="AF2" s="4"/>
      <c r="AG2" s="4"/>
      <c r="AH2" s="4"/>
      <c r="AI2" s="234"/>
      <c r="AJ2" s="4"/>
      <c r="AK2" s="4"/>
      <c r="AL2" s="4"/>
      <c r="AM2" s="4"/>
      <c r="AN2" s="4"/>
      <c r="AO2" s="4"/>
      <c r="AP2" s="4"/>
      <c r="AQ2" s="4"/>
    </row>
    <row r="3" spans="1:45" ht="19.5" hidden="1" thickBot="1" x14ac:dyDescent="0.35"/>
    <row r="4" spans="1:45" s="5" customFormat="1" ht="55.9" customHeight="1" x14ac:dyDescent="0.3">
      <c r="A4" s="116" t="s">
        <v>0</v>
      </c>
      <c r="B4" s="117" t="s">
        <v>1</v>
      </c>
      <c r="C4" s="117" t="s">
        <v>105</v>
      </c>
      <c r="D4" s="117" t="s">
        <v>46</v>
      </c>
      <c r="E4" s="117" t="s">
        <v>177</v>
      </c>
      <c r="F4" s="117" t="s">
        <v>176</v>
      </c>
      <c r="G4" s="117" t="s">
        <v>2</v>
      </c>
      <c r="H4" s="117" t="s">
        <v>3</v>
      </c>
      <c r="I4" s="117" t="s">
        <v>4</v>
      </c>
      <c r="J4" s="308" t="s">
        <v>5</v>
      </c>
      <c r="K4" s="309"/>
      <c r="L4" s="309"/>
      <c r="M4" s="309"/>
      <c r="N4" s="309"/>
      <c r="O4" s="309"/>
      <c r="P4" s="309"/>
      <c r="Q4" s="309"/>
      <c r="R4" s="309"/>
      <c r="S4" s="309"/>
      <c r="T4" s="309"/>
      <c r="U4" s="309"/>
      <c r="V4" s="309"/>
      <c r="W4" s="309"/>
      <c r="X4" s="309"/>
      <c r="Y4" s="309"/>
      <c r="Z4" s="309"/>
      <c r="AA4" s="309"/>
      <c r="AB4" s="309"/>
      <c r="AC4" s="309"/>
      <c r="AD4" s="309"/>
      <c r="AE4" s="145" t="s">
        <v>179</v>
      </c>
      <c r="AF4" s="145" t="s">
        <v>178</v>
      </c>
      <c r="AG4" s="145" t="s">
        <v>589</v>
      </c>
      <c r="AH4" s="145" t="s">
        <v>181</v>
      </c>
      <c r="AI4" s="302" t="s">
        <v>586</v>
      </c>
      <c r="AJ4" s="303"/>
      <c r="AK4" s="303"/>
      <c r="AL4" s="303"/>
      <c r="AM4" s="303"/>
      <c r="AN4" s="145" t="s">
        <v>591</v>
      </c>
      <c r="AO4" s="145" t="s">
        <v>192</v>
      </c>
      <c r="AP4" s="117" t="s">
        <v>6</v>
      </c>
      <c r="AQ4" s="117" t="s">
        <v>7</v>
      </c>
      <c r="AR4" s="117" t="s">
        <v>8</v>
      </c>
      <c r="AS4" s="118" t="s">
        <v>9</v>
      </c>
    </row>
    <row r="5" spans="1:45" ht="45.75" customHeight="1" x14ac:dyDescent="0.3">
      <c r="A5" s="119"/>
      <c r="B5" s="119"/>
      <c r="C5" s="119"/>
      <c r="D5" s="119"/>
      <c r="E5" s="119"/>
      <c r="F5" s="119"/>
      <c r="G5" s="119"/>
      <c r="H5" s="119"/>
      <c r="I5" s="119"/>
      <c r="J5" s="120">
        <v>43831</v>
      </c>
      <c r="K5" s="120">
        <v>43862</v>
      </c>
      <c r="L5" s="120">
        <v>43891</v>
      </c>
      <c r="M5" s="120">
        <v>43941</v>
      </c>
      <c r="N5" s="120">
        <v>43971</v>
      </c>
      <c r="O5" s="120">
        <v>44002</v>
      </c>
      <c r="P5" s="120">
        <v>44032</v>
      </c>
      <c r="Q5" s="120">
        <v>44063</v>
      </c>
      <c r="R5" s="120">
        <v>44094</v>
      </c>
      <c r="S5" s="120">
        <v>44124</v>
      </c>
      <c r="T5" s="120">
        <v>44155</v>
      </c>
      <c r="U5" s="120">
        <v>44185</v>
      </c>
      <c r="V5" s="120">
        <v>44217</v>
      </c>
      <c r="W5" s="120">
        <v>44248</v>
      </c>
      <c r="X5" s="120">
        <v>44276</v>
      </c>
      <c r="Y5" s="120">
        <v>44307</v>
      </c>
      <c r="Z5" s="120">
        <v>44337</v>
      </c>
      <c r="AA5" s="120">
        <v>44368</v>
      </c>
      <c r="AB5" s="120">
        <v>44398</v>
      </c>
      <c r="AC5" s="120">
        <v>44429</v>
      </c>
      <c r="AD5" s="120">
        <v>44460</v>
      </c>
      <c r="AE5" s="119"/>
      <c r="AF5" s="119"/>
      <c r="AG5" s="228"/>
      <c r="AH5" s="228"/>
      <c r="AI5" s="229" t="s">
        <v>587</v>
      </c>
      <c r="AJ5" s="119" t="s">
        <v>588</v>
      </c>
      <c r="AK5" s="119" t="s">
        <v>230</v>
      </c>
      <c r="AL5" s="152" t="s">
        <v>229</v>
      </c>
      <c r="AM5" s="152" t="s">
        <v>590</v>
      </c>
      <c r="AN5" s="119"/>
      <c r="AO5" s="119"/>
      <c r="AP5" s="119"/>
      <c r="AQ5" s="119"/>
      <c r="AR5" s="119"/>
      <c r="AS5" s="119"/>
    </row>
    <row r="6" spans="1:45" s="3" customFormat="1" ht="20.25" x14ac:dyDescent="0.3">
      <c r="A6" s="121">
        <v>1</v>
      </c>
      <c r="B6" s="122" t="s">
        <v>10</v>
      </c>
      <c r="C6" s="122"/>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235"/>
      <c r="AH6" s="235"/>
      <c r="AI6" s="236"/>
      <c r="AJ6" s="123"/>
      <c r="AK6" s="123"/>
      <c r="AL6" s="123"/>
      <c r="AM6" s="123"/>
      <c r="AN6" s="122"/>
      <c r="AO6" s="122"/>
      <c r="AP6" s="122"/>
      <c r="AQ6" s="122"/>
      <c r="AR6" s="122"/>
      <c r="AS6" s="122"/>
    </row>
    <row r="7" spans="1:45" ht="51" customHeight="1" x14ac:dyDescent="0.3">
      <c r="A7" s="124"/>
      <c r="B7" s="124"/>
      <c r="C7" s="125" t="s">
        <v>12</v>
      </c>
      <c r="D7" s="125" t="s">
        <v>47</v>
      </c>
      <c r="E7" s="126" t="s">
        <v>174</v>
      </c>
      <c r="F7" s="125" t="s">
        <v>78</v>
      </c>
      <c r="G7" s="125" t="s">
        <v>50</v>
      </c>
      <c r="H7" s="125" t="s">
        <v>26</v>
      </c>
      <c r="I7" s="125" t="s">
        <v>116</v>
      </c>
      <c r="J7" s="127"/>
      <c r="K7" s="127">
        <v>1</v>
      </c>
      <c r="L7" s="127">
        <v>1</v>
      </c>
      <c r="M7" s="128">
        <v>1</v>
      </c>
      <c r="N7" s="127"/>
      <c r="O7" s="127">
        <v>1</v>
      </c>
      <c r="P7" s="127"/>
      <c r="Q7" s="127">
        <v>1</v>
      </c>
      <c r="R7" s="127"/>
      <c r="S7" s="127">
        <v>1</v>
      </c>
      <c r="T7" s="127"/>
      <c r="U7" s="127">
        <v>1</v>
      </c>
      <c r="V7" s="129"/>
      <c r="W7" s="129"/>
      <c r="X7" s="129"/>
      <c r="Y7" s="129"/>
      <c r="Z7" s="129"/>
      <c r="AA7" s="129"/>
      <c r="AB7" s="129"/>
      <c r="AC7" s="129"/>
      <c r="AD7" s="129"/>
      <c r="AE7" s="146">
        <f>SUM(J7:AD7)</f>
        <v>7</v>
      </c>
      <c r="AF7" s="146" t="s">
        <v>180</v>
      </c>
      <c r="AG7" s="162">
        <v>350</v>
      </c>
      <c r="AH7" s="162">
        <f>AE7*AG7</f>
        <v>2450</v>
      </c>
      <c r="AI7" s="162"/>
      <c r="AJ7" s="147"/>
      <c r="AK7" s="147"/>
      <c r="AL7" s="147"/>
      <c r="AM7" s="147"/>
      <c r="AN7" s="148">
        <f>AH7-AI7-AJ7-AK7-AM7</f>
        <v>2450</v>
      </c>
      <c r="AO7" s="146"/>
      <c r="AP7" s="124"/>
      <c r="AQ7" s="125" t="s">
        <v>135</v>
      </c>
      <c r="AR7" s="125" t="s">
        <v>156</v>
      </c>
      <c r="AS7" s="125" t="s">
        <v>153</v>
      </c>
    </row>
    <row r="8" spans="1:45" ht="26.25" customHeight="1" x14ac:dyDescent="0.3">
      <c r="A8" s="124"/>
      <c r="B8" s="124"/>
      <c r="C8" s="125" t="s">
        <v>193</v>
      </c>
      <c r="D8" s="125" t="s">
        <v>110</v>
      </c>
      <c r="E8" s="126"/>
      <c r="F8" s="125"/>
      <c r="G8" s="125"/>
      <c r="H8" s="125"/>
      <c r="I8" s="125"/>
      <c r="J8" s="127"/>
      <c r="K8" s="127"/>
      <c r="L8" s="127"/>
      <c r="M8" s="130"/>
      <c r="N8" s="127">
        <v>1</v>
      </c>
      <c r="O8" s="127"/>
      <c r="P8" s="127"/>
      <c r="Q8" s="127"/>
      <c r="R8" s="127"/>
      <c r="S8" s="127"/>
      <c r="T8" s="127"/>
      <c r="U8" s="127"/>
      <c r="V8" s="129"/>
      <c r="W8" s="129"/>
      <c r="X8" s="129"/>
      <c r="Y8" s="129"/>
      <c r="Z8" s="129"/>
      <c r="AA8" s="129"/>
      <c r="AB8" s="129"/>
      <c r="AC8" s="129"/>
      <c r="AD8" s="129"/>
      <c r="AE8" s="146">
        <f t="shared" ref="AE8:AE67" si="0">SUM(J8:AD8)</f>
        <v>1</v>
      </c>
      <c r="AF8" s="146" t="s">
        <v>180</v>
      </c>
      <c r="AG8" s="162">
        <v>31500</v>
      </c>
      <c r="AH8" s="162">
        <f>AE8*AG8</f>
        <v>31500</v>
      </c>
      <c r="AI8" s="162"/>
      <c r="AJ8" s="162">
        <v>31500</v>
      </c>
      <c r="AK8" s="147"/>
      <c r="AL8" s="147"/>
      <c r="AM8" s="147"/>
      <c r="AN8" s="148">
        <f t="shared" ref="AN8:AN61" si="1">AH8-AI8-AJ8-AK8-AM8</f>
        <v>0</v>
      </c>
      <c r="AO8" s="146"/>
      <c r="AP8" s="124"/>
      <c r="AQ8" s="125"/>
      <c r="AR8" s="125"/>
      <c r="AS8" s="125"/>
    </row>
    <row r="9" spans="1:45" s="3" customFormat="1" ht="20.25" x14ac:dyDescent="0.3">
      <c r="A9" s="121">
        <v>2</v>
      </c>
      <c r="B9" s="122" t="s">
        <v>11</v>
      </c>
      <c r="C9" s="122"/>
      <c r="D9" s="122"/>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58"/>
      <c r="AF9" s="149"/>
      <c r="AG9" s="237"/>
      <c r="AH9" s="237"/>
      <c r="AI9" s="237"/>
      <c r="AJ9" s="150"/>
      <c r="AK9" s="150"/>
      <c r="AL9" s="150"/>
      <c r="AM9" s="150"/>
      <c r="AN9" s="160">
        <f t="shared" si="1"/>
        <v>0</v>
      </c>
      <c r="AO9" s="149"/>
      <c r="AP9" s="122"/>
      <c r="AQ9" s="122"/>
      <c r="AR9" s="122"/>
      <c r="AS9" s="122"/>
    </row>
    <row r="10" spans="1:45" ht="29.25" customHeight="1" x14ac:dyDescent="0.3">
      <c r="A10" s="124"/>
      <c r="B10" s="124"/>
      <c r="C10" s="124" t="s">
        <v>592</v>
      </c>
      <c r="D10" s="124" t="s">
        <v>47</v>
      </c>
      <c r="E10" s="126" t="s">
        <v>174</v>
      </c>
      <c r="F10" s="125" t="s">
        <v>51</v>
      </c>
      <c r="G10" s="125" t="s">
        <v>52</v>
      </c>
      <c r="H10" s="125" t="s">
        <v>27</v>
      </c>
      <c r="I10" s="125" t="s">
        <v>117</v>
      </c>
      <c r="J10" s="127"/>
      <c r="K10" s="127"/>
      <c r="L10" s="127"/>
      <c r="M10" s="127"/>
      <c r="N10" s="127"/>
      <c r="O10" s="127">
        <v>1</v>
      </c>
      <c r="P10" s="127"/>
      <c r="Q10" s="127"/>
      <c r="R10" s="127">
        <v>1</v>
      </c>
      <c r="S10" s="127"/>
      <c r="T10" s="127"/>
      <c r="U10" s="127">
        <v>1</v>
      </c>
      <c r="V10" s="129"/>
      <c r="W10" s="129"/>
      <c r="X10" s="129"/>
      <c r="Y10" s="129"/>
      <c r="Z10" s="129"/>
      <c r="AA10" s="129"/>
      <c r="AB10" s="129"/>
      <c r="AC10" s="129"/>
      <c r="AD10" s="129"/>
      <c r="AE10" s="146">
        <f t="shared" si="0"/>
        <v>3</v>
      </c>
      <c r="AF10" s="146" t="s">
        <v>180</v>
      </c>
      <c r="AG10" s="162">
        <v>8700</v>
      </c>
      <c r="AH10" s="162">
        <f t="shared" ref="AH10:AH15" si="2">AE10*AG10</f>
        <v>26100</v>
      </c>
      <c r="AI10" s="162">
        <v>3883</v>
      </c>
      <c r="AJ10" s="151"/>
      <c r="AK10" s="151"/>
      <c r="AL10" s="151">
        <v>5000</v>
      </c>
      <c r="AM10" s="151"/>
      <c r="AN10" s="148">
        <f t="shared" si="1"/>
        <v>22217</v>
      </c>
      <c r="AO10" s="152" t="s">
        <v>206</v>
      </c>
      <c r="AP10" s="124" t="s">
        <v>129</v>
      </c>
      <c r="AQ10" s="125" t="s">
        <v>136</v>
      </c>
      <c r="AR10" s="125" t="s">
        <v>157</v>
      </c>
      <c r="AS10" s="124"/>
    </row>
    <row r="11" spans="1:45" ht="29.25" customHeight="1" x14ac:dyDescent="0.3">
      <c r="A11" s="124"/>
      <c r="B11" s="124"/>
      <c r="C11" s="125" t="s">
        <v>55</v>
      </c>
      <c r="D11" s="124" t="s">
        <v>47</v>
      </c>
      <c r="E11" s="126" t="s">
        <v>174</v>
      </c>
      <c r="F11" s="125" t="s">
        <v>54</v>
      </c>
      <c r="G11" s="125" t="s">
        <v>56</v>
      </c>
      <c r="H11" s="125" t="s">
        <v>53</v>
      </c>
      <c r="I11" s="125" t="s">
        <v>117</v>
      </c>
      <c r="J11" s="127"/>
      <c r="K11" s="127"/>
      <c r="L11" s="127"/>
      <c r="M11" s="127">
        <v>1</v>
      </c>
      <c r="N11" s="127">
        <v>1</v>
      </c>
      <c r="O11" s="127">
        <v>2</v>
      </c>
      <c r="P11" s="127">
        <v>2</v>
      </c>
      <c r="Q11" s="127">
        <v>2</v>
      </c>
      <c r="R11" s="127">
        <v>2</v>
      </c>
      <c r="S11" s="127">
        <v>3</v>
      </c>
      <c r="T11" s="127">
        <v>2</v>
      </c>
      <c r="U11" s="127">
        <v>3</v>
      </c>
      <c r="V11" s="129">
        <v>2</v>
      </c>
      <c r="W11" s="129">
        <v>3</v>
      </c>
      <c r="X11" s="129">
        <v>2</v>
      </c>
      <c r="Y11" s="129"/>
      <c r="Z11" s="129"/>
      <c r="AA11" s="129"/>
      <c r="AB11" s="129"/>
      <c r="AC11" s="129"/>
      <c r="AD11" s="129"/>
      <c r="AE11" s="146">
        <f t="shared" si="0"/>
        <v>25</v>
      </c>
      <c r="AF11" s="146" t="s">
        <v>180</v>
      </c>
      <c r="AG11" s="162">
        <v>350</v>
      </c>
      <c r="AH11" s="162">
        <f t="shared" si="2"/>
        <v>8750</v>
      </c>
      <c r="AI11" s="162">
        <v>4200</v>
      </c>
      <c r="AJ11" s="151"/>
      <c r="AK11" s="151"/>
      <c r="AL11" s="151"/>
      <c r="AM11" s="151"/>
      <c r="AN11" s="148">
        <f t="shared" si="1"/>
        <v>4550</v>
      </c>
      <c r="AO11" s="146"/>
      <c r="AP11" s="124" t="s">
        <v>129</v>
      </c>
      <c r="AQ11" s="125" t="s">
        <v>137</v>
      </c>
      <c r="AR11" s="125" t="s">
        <v>158</v>
      </c>
      <c r="AS11" s="124"/>
    </row>
    <row r="12" spans="1:45" ht="19.149999999999999" customHeight="1" x14ac:dyDescent="0.3">
      <c r="A12" s="124"/>
      <c r="B12" s="124"/>
      <c r="C12" s="124" t="s">
        <v>48</v>
      </c>
      <c r="D12" s="124" t="s">
        <v>47</v>
      </c>
      <c r="E12" s="312" t="s">
        <v>173</v>
      </c>
      <c r="F12" s="125" t="s">
        <v>57</v>
      </c>
      <c r="G12" s="125" t="s">
        <v>58</v>
      </c>
      <c r="H12" s="125" t="s">
        <v>59</v>
      </c>
      <c r="I12" s="125" t="s">
        <v>117</v>
      </c>
      <c r="J12" s="129"/>
      <c r="K12" s="129"/>
      <c r="L12" s="129"/>
      <c r="M12" s="129"/>
      <c r="N12" s="129">
        <v>1</v>
      </c>
      <c r="O12" s="129"/>
      <c r="P12" s="129">
        <v>1</v>
      </c>
      <c r="Q12" s="129"/>
      <c r="R12" s="129">
        <v>1</v>
      </c>
      <c r="S12" s="129"/>
      <c r="T12" s="129"/>
      <c r="U12" s="129"/>
      <c r="V12" s="129"/>
      <c r="W12" s="129"/>
      <c r="X12" s="129"/>
      <c r="Y12" s="129"/>
      <c r="Z12" s="129"/>
      <c r="AA12" s="129"/>
      <c r="AB12" s="129"/>
      <c r="AC12" s="129"/>
      <c r="AD12" s="129"/>
      <c r="AE12" s="146">
        <f t="shared" si="0"/>
        <v>3</v>
      </c>
      <c r="AF12" s="146" t="s">
        <v>180</v>
      </c>
      <c r="AG12" s="162">
        <v>3500</v>
      </c>
      <c r="AH12" s="162">
        <f t="shared" si="2"/>
        <v>10500</v>
      </c>
      <c r="AI12" s="162"/>
      <c r="AJ12" s="147"/>
      <c r="AK12" s="147">
        <v>10000</v>
      </c>
      <c r="AL12" s="147"/>
      <c r="AM12" s="147"/>
      <c r="AN12" s="148">
        <f t="shared" si="1"/>
        <v>500</v>
      </c>
      <c r="AO12" s="146" t="s">
        <v>230</v>
      </c>
      <c r="AP12" s="124" t="s">
        <v>130</v>
      </c>
      <c r="AQ12" s="125" t="s">
        <v>136</v>
      </c>
      <c r="AR12" s="125" t="s">
        <v>159</v>
      </c>
      <c r="AS12" s="124" t="s">
        <v>154</v>
      </c>
    </row>
    <row r="13" spans="1:45" ht="19.149999999999999" customHeight="1" x14ac:dyDescent="0.3">
      <c r="A13" s="124"/>
      <c r="B13" s="124"/>
      <c r="C13" s="124" t="s">
        <v>231</v>
      </c>
      <c r="D13" s="124" t="s">
        <v>183</v>
      </c>
      <c r="E13" s="313"/>
      <c r="F13" s="125" t="s">
        <v>126</v>
      </c>
      <c r="G13" s="125" t="s">
        <v>128</v>
      </c>
      <c r="H13" s="125" t="s">
        <v>127</v>
      </c>
      <c r="I13" s="125" t="s">
        <v>117</v>
      </c>
      <c r="J13" s="129"/>
      <c r="K13" s="129"/>
      <c r="L13" s="129"/>
      <c r="M13" s="129"/>
      <c r="N13" s="129"/>
      <c r="O13" s="129"/>
      <c r="P13" s="129">
        <v>1</v>
      </c>
      <c r="Q13" s="129"/>
      <c r="R13" s="129"/>
      <c r="S13" s="129"/>
      <c r="T13" s="129"/>
      <c r="U13" s="129"/>
      <c r="V13" s="129"/>
      <c r="W13" s="129"/>
      <c r="X13" s="129"/>
      <c r="Y13" s="129"/>
      <c r="Z13" s="129"/>
      <c r="AA13" s="129"/>
      <c r="AB13" s="129"/>
      <c r="AC13" s="129"/>
      <c r="AD13" s="129"/>
      <c r="AE13" s="146">
        <f t="shared" si="0"/>
        <v>1</v>
      </c>
      <c r="AF13" s="146" t="s">
        <v>180</v>
      </c>
      <c r="AG13" s="162">
        <v>40000</v>
      </c>
      <c r="AH13" s="162">
        <f t="shared" si="2"/>
        <v>40000</v>
      </c>
      <c r="AI13" s="162"/>
      <c r="AJ13" s="162">
        <v>40000</v>
      </c>
      <c r="AK13" s="147"/>
      <c r="AL13" s="147"/>
      <c r="AM13" s="147"/>
      <c r="AN13" s="148">
        <f t="shared" si="1"/>
        <v>0</v>
      </c>
      <c r="AO13" s="146"/>
      <c r="AP13" s="124" t="s">
        <v>131</v>
      </c>
      <c r="AQ13" s="125" t="s">
        <v>136</v>
      </c>
      <c r="AR13" s="125" t="s">
        <v>160</v>
      </c>
      <c r="AS13" s="124"/>
    </row>
    <row r="14" spans="1:45" ht="19.149999999999999" customHeight="1" x14ac:dyDescent="0.3">
      <c r="A14" s="124"/>
      <c r="B14" s="124"/>
      <c r="C14" s="124" t="s">
        <v>184</v>
      </c>
      <c r="D14" s="124" t="s">
        <v>47</v>
      </c>
      <c r="E14" s="313"/>
      <c r="F14" s="125"/>
      <c r="G14" s="125"/>
      <c r="H14" s="125"/>
      <c r="I14" s="125"/>
      <c r="J14" s="129"/>
      <c r="K14" s="129"/>
      <c r="L14" s="129"/>
      <c r="M14" s="129"/>
      <c r="N14" s="129"/>
      <c r="O14" s="129"/>
      <c r="Q14" s="1">
        <v>1</v>
      </c>
      <c r="S14" s="129">
        <v>1</v>
      </c>
      <c r="T14" s="129"/>
      <c r="U14" s="129"/>
      <c r="V14" s="129"/>
      <c r="W14" s="129"/>
      <c r="X14" s="129"/>
      <c r="Y14" s="129"/>
      <c r="Z14" s="129"/>
      <c r="AA14" s="129"/>
      <c r="AB14" s="129"/>
      <c r="AC14" s="129"/>
      <c r="AD14" s="129"/>
      <c r="AE14" s="146">
        <f t="shared" si="0"/>
        <v>2</v>
      </c>
      <c r="AF14" s="146" t="s">
        <v>180</v>
      </c>
      <c r="AG14" s="162">
        <v>500</v>
      </c>
      <c r="AH14" s="162">
        <f t="shared" si="2"/>
        <v>1000</v>
      </c>
      <c r="AI14" s="162"/>
      <c r="AJ14" s="162">
        <v>1000</v>
      </c>
      <c r="AK14" s="147"/>
      <c r="AL14" s="147"/>
      <c r="AM14" s="147"/>
      <c r="AN14" s="148">
        <f t="shared" si="1"/>
        <v>0</v>
      </c>
      <c r="AO14" s="146"/>
      <c r="AP14" s="124" t="s">
        <v>131</v>
      </c>
      <c r="AQ14" s="125"/>
      <c r="AR14" s="125"/>
      <c r="AS14" s="124"/>
    </row>
    <row r="15" spans="1:45" ht="19.149999999999999" customHeight="1" x14ac:dyDescent="0.3">
      <c r="A15" s="124"/>
      <c r="B15" s="124"/>
      <c r="C15" s="124" t="s">
        <v>182</v>
      </c>
      <c r="D15" s="124" t="s">
        <v>47</v>
      </c>
      <c r="E15" s="314"/>
      <c r="F15" s="125" t="s">
        <v>60</v>
      </c>
      <c r="G15" s="125" t="s">
        <v>92</v>
      </c>
      <c r="H15" s="125" t="s">
        <v>91</v>
      </c>
      <c r="I15" s="125" t="s">
        <v>117</v>
      </c>
      <c r="J15" s="129"/>
      <c r="K15" s="129"/>
      <c r="L15" s="129"/>
      <c r="M15" s="129"/>
      <c r="N15" s="129"/>
      <c r="O15" s="129">
        <v>1</v>
      </c>
      <c r="P15" s="129">
        <v>1</v>
      </c>
      <c r="Q15" s="129"/>
      <c r="R15" s="129">
        <v>1</v>
      </c>
      <c r="S15" s="129"/>
      <c r="T15" s="129"/>
      <c r="U15" s="129"/>
      <c r="V15" s="129"/>
      <c r="W15" s="129"/>
      <c r="X15" s="129"/>
      <c r="Y15" s="129"/>
      <c r="Z15" s="129"/>
      <c r="AA15" s="129"/>
      <c r="AB15" s="129"/>
      <c r="AC15" s="129"/>
      <c r="AD15" s="129"/>
      <c r="AE15" s="146">
        <f t="shared" si="0"/>
        <v>3</v>
      </c>
      <c r="AF15" s="146" t="s">
        <v>185</v>
      </c>
      <c r="AG15" s="162">
        <v>1000</v>
      </c>
      <c r="AH15" s="162">
        <f t="shared" si="2"/>
        <v>3000</v>
      </c>
      <c r="AI15" s="162"/>
      <c r="AJ15" s="162">
        <v>1000</v>
      </c>
      <c r="AK15" s="147"/>
      <c r="AL15" s="147"/>
      <c r="AM15" s="147"/>
      <c r="AN15" s="148">
        <f t="shared" si="1"/>
        <v>2000</v>
      </c>
      <c r="AO15" s="146"/>
      <c r="AP15" s="124" t="s">
        <v>132</v>
      </c>
      <c r="AQ15" s="125" t="s">
        <v>136</v>
      </c>
      <c r="AR15" s="124" t="s">
        <v>161</v>
      </c>
      <c r="AS15" s="124"/>
    </row>
    <row r="16" spans="1:45" s="3" customFormat="1" ht="19.149999999999999" customHeight="1" x14ac:dyDescent="0.3">
      <c r="A16" s="121">
        <v>3</v>
      </c>
      <c r="B16" s="122" t="s">
        <v>13</v>
      </c>
      <c r="C16" s="122"/>
      <c r="D16" s="122"/>
      <c r="E16" s="122"/>
      <c r="F16" s="122"/>
      <c r="G16" s="122"/>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58"/>
      <c r="AF16" s="149"/>
      <c r="AG16" s="237"/>
      <c r="AH16" s="237"/>
      <c r="AI16" s="237"/>
      <c r="AJ16" s="150"/>
      <c r="AK16" s="150"/>
      <c r="AL16" s="150"/>
      <c r="AM16" s="150"/>
      <c r="AN16" s="160">
        <f t="shared" si="1"/>
        <v>0</v>
      </c>
      <c r="AO16" s="149"/>
      <c r="AP16" s="122"/>
      <c r="AQ16" s="122"/>
      <c r="AR16" s="122"/>
      <c r="AS16" s="122"/>
    </row>
    <row r="17" spans="1:45" ht="19.149999999999999" customHeight="1" x14ac:dyDescent="0.3">
      <c r="A17" s="124"/>
      <c r="B17" s="124"/>
      <c r="C17" s="132" t="s">
        <v>14</v>
      </c>
      <c r="D17" s="124" t="s">
        <v>186</v>
      </c>
      <c r="E17" s="310" t="s">
        <v>175</v>
      </c>
      <c r="F17" s="125" t="s">
        <v>49</v>
      </c>
      <c r="G17" s="125" t="s">
        <v>77</v>
      </c>
      <c r="H17" s="125" t="s">
        <v>82</v>
      </c>
      <c r="I17" s="125" t="s">
        <v>118</v>
      </c>
      <c r="J17" s="129"/>
      <c r="K17" s="129"/>
      <c r="L17" s="129"/>
      <c r="M17" s="129"/>
      <c r="N17" s="129">
        <v>1</v>
      </c>
      <c r="O17" s="129"/>
      <c r="P17" s="129"/>
      <c r="Q17" s="129"/>
      <c r="R17" s="129"/>
      <c r="S17" s="129"/>
      <c r="T17" s="129"/>
      <c r="U17" s="129"/>
      <c r="V17" s="129"/>
      <c r="W17" s="129"/>
      <c r="X17" s="129"/>
      <c r="Y17" s="129"/>
      <c r="Z17" s="129"/>
      <c r="AA17" s="129"/>
      <c r="AB17" s="129"/>
      <c r="AC17" s="129"/>
      <c r="AD17" s="129"/>
      <c r="AE17" s="146">
        <f t="shared" si="0"/>
        <v>1</v>
      </c>
      <c r="AF17" s="146"/>
      <c r="AG17" s="162">
        <v>12000</v>
      </c>
      <c r="AH17" s="162">
        <f>AE17*AG17</f>
        <v>12000</v>
      </c>
      <c r="AI17" s="162"/>
      <c r="AJ17" s="147"/>
      <c r="AK17" s="147"/>
      <c r="AL17" s="147"/>
      <c r="AM17" s="147"/>
      <c r="AN17" s="148">
        <f t="shared" si="1"/>
        <v>12000</v>
      </c>
      <c r="AO17" s="152"/>
      <c r="AP17" s="124"/>
      <c r="AQ17" s="124" t="s">
        <v>138</v>
      </c>
      <c r="AR17" s="125" t="s">
        <v>162</v>
      </c>
      <c r="AS17" s="124"/>
    </row>
    <row r="18" spans="1:45" ht="19.149999999999999" customHeight="1" x14ac:dyDescent="0.3">
      <c r="A18" s="124"/>
      <c r="B18" s="124"/>
      <c r="C18" s="124" t="s">
        <v>209</v>
      </c>
      <c r="D18" s="124" t="s">
        <v>107</v>
      </c>
      <c r="E18" s="311"/>
      <c r="F18" s="125" t="s">
        <v>88</v>
      </c>
      <c r="G18" s="125" t="s">
        <v>89</v>
      </c>
      <c r="H18" s="125" t="s">
        <v>90</v>
      </c>
      <c r="I18" s="125" t="s">
        <v>118</v>
      </c>
      <c r="J18" s="129"/>
      <c r="K18" s="129"/>
      <c r="L18" s="129"/>
      <c r="M18" s="129"/>
      <c r="N18" s="129">
        <v>1</v>
      </c>
      <c r="O18" s="129"/>
      <c r="P18" s="129"/>
      <c r="Q18" s="129"/>
      <c r="R18" s="129"/>
      <c r="S18" s="129"/>
      <c r="T18" s="129"/>
      <c r="U18" s="129"/>
      <c r="V18" s="129"/>
      <c r="W18" s="129"/>
      <c r="X18" s="129"/>
      <c r="Y18" s="129"/>
      <c r="Z18" s="129"/>
      <c r="AA18" s="129"/>
      <c r="AB18" s="129"/>
      <c r="AC18" s="129"/>
      <c r="AD18" s="129"/>
      <c r="AE18" s="146">
        <f t="shared" si="0"/>
        <v>1</v>
      </c>
      <c r="AF18" s="146" t="s">
        <v>180</v>
      </c>
      <c r="AG18" s="162">
        <f>5600-1539</f>
        <v>4061</v>
      </c>
      <c r="AH18" s="162">
        <f>AE18*AG18</f>
        <v>4061</v>
      </c>
      <c r="AI18" s="162">
        <v>3660</v>
      </c>
      <c r="AJ18" s="151"/>
      <c r="AK18" s="151"/>
      <c r="AL18" s="151"/>
      <c r="AM18" s="151"/>
      <c r="AN18" s="148">
        <f t="shared" si="1"/>
        <v>401</v>
      </c>
      <c r="AO18" s="152"/>
      <c r="AP18" s="124"/>
      <c r="AQ18" s="124" t="s">
        <v>139</v>
      </c>
      <c r="AR18" s="125" t="s">
        <v>162</v>
      </c>
      <c r="AS18" s="124"/>
    </row>
    <row r="19" spans="1:45" ht="19.149999999999999" customHeight="1" x14ac:dyDescent="0.3">
      <c r="A19" s="124"/>
      <c r="B19" s="124"/>
      <c r="C19" s="132" t="s">
        <v>593</v>
      </c>
      <c r="D19" s="124"/>
      <c r="E19" s="159"/>
      <c r="F19" s="125"/>
      <c r="G19" s="125"/>
      <c r="H19" s="125"/>
      <c r="I19" s="125"/>
      <c r="J19" s="129"/>
      <c r="K19" s="129"/>
      <c r="L19" s="129"/>
      <c r="M19" s="129"/>
      <c r="N19" s="129"/>
      <c r="O19" s="129"/>
      <c r="P19" s="129"/>
      <c r="Q19" s="129">
        <v>1</v>
      </c>
      <c r="R19" s="129"/>
      <c r="S19" s="129"/>
      <c r="T19" s="129"/>
      <c r="U19" s="129"/>
      <c r="V19" s="129"/>
      <c r="W19" s="129"/>
      <c r="X19" s="129"/>
      <c r="Y19" s="129"/>
      <c r="Z19" s="129"/>
      <c r="AA19" s="129"/>
      <c r="AB19" s="129"/>
      <c r="AC19" s="129"/>
      <c r="AD19" s="129"/>
      <c r="AE19" s="146">
        <f t="shared" si="0"/>
        <v>1</v>
      </c>
      <c r="AF19" s="146" t="s">
        <v>180</v>
      </c>
      <c r="AG19" s="162">
        <v>4000</v>
      </c>
      <c r="AH19" s="162">
        <f>AE19*AG19</f>
        <v>4000</v>
      </c>
      <c r="AI19" s="162"/>
      <c r="AJ19" s="151"/>
      <c r="AK19" s="151"/>
      <c r="AL19" s="151"/>
      <c r="AM19" s="151"/>
      <c r="AN19" s="148">
        <f t="shared" si="1"/>
        <v>4000</v>
      </c>
      <c r="AO19" s="152"/>
      <c r="AP19" s="124"/>
      <c r="AQ19" s="124"/>
      <c r="AR19" s="125"/>
      <c r="AS19" s="124"/>
    </row>
    <row r="20" spans="1:45" s="3" customFormat="1" ht="19.149999999999999" customHeight="1" x14ac:dyDescent="0.3">
      <c r="A20" s="121">
        <v>4</v>
      </c>
      <c r="B20" s="122" t="s">
        <v>15</v>
      </c>
      <c r="C20" s="122"/>
      <c r="D20" s="122"/>
      <c r="E20" s="122"/>
      <c r="F20" s="122"/>
      <c r="G20" s="122"/>
      <c r="H20" s="122"/>
      <c r="I20" s="122"/>
      <c r="J20" s="122"/>
      <c r="K20" s="122"/>
      <c r="L20" s="122"/>
      <c r="M20" s="122"/>
      <c r="N20" s="122"/>
      <c r="O20" s="122"/>
      <c r="P20" s="122"/>
      <c r="Q20" s="122"/>
      <c r="R20" s="122"/>
      <c r="S20" s="122"/>
      <c r="T20" s="122"/>
      <c r="U20" s="122"/>
      <c r="V20" s="122"/>
      <c r="W20" s="122"/>
      <c r="X20" s="122"/>
      <c r="Y20" s="122"/>
      <c r="Z20" s="122"/>
      <c r="AA20" s="122"/>
      <c r="AB20" s="122"/>
      <c r="AC20" s="122"/>
      <c r="AD20" s="122"/>
      <c r="AE20" s="158"/>
      <c r="AF20" s="149"/>
      <c r="AG20" s="237"/>
      <c r="AH20" s="237"/>
      <c r="AI20" s="237"/>
      <c r="AJ20" s="150"/>
      <c r="AK20" s="150"/>
      <c r="AL20" s="150"/>
      <c r="AM20" s="150"/>
      <c r="AN20" s="160"/>
      <c r="AO20" s="149"/>
      <c r="AP20" s="122"/>
      <c r="AQ20" s="122"/>
      <c r="AR20" s="122"/>
      <c r="AS20" s="122"/>
    </row>
    <row r="21" spans="1:45" ht="19.149999999999999" customHeight="1" x14ac:dyDescent="0.3">
      <c r="A21" s="124"/>
      <c r="B21" s="124"/>
      <c r="C21" s="125" t="s">
        <v>16</v>
      </c>
      <c r="D21" s="125" t="s">
        <v>106</v>
      </c>
      <c r="E21" s="312" t="s">
        <v>173</v>
      </c>
      <c r="F21" s="125" t="s">
        <v>65</v>
      </c>
      <c r="G21" s="125" t="s">
        <v>76</v>
      </c>
      <c r="H21" s="125" t="s">
        <v>35</v>
      </c>
      <c r="I21" s="125" t="s">
        <v>36</v>
      </c>
      <c r="J21" s="129"/>
      <c r="K21" s="129"/>
      <c r="L21" s="129"/>
      <c r="M21" s="129"/>
      <c r="N21" s="129"/>
      <c r="O21" s="129">
        <v>1</v>
      </c>
      <c r="P21" s="129"/>
      <c r="Q21" s="129">
        <v>1</v>
      </c>
      <c r="R21" s="129"/>
      <c r="S21" s="129">
        <v>1</v>
      </c>
      <c r="T21" s="129"/>
      <c r="U21" s="129">
        <v>1</v>
      </c>
      <c r="V21" s="129"/>
      <c r="W21" s="129">
        <v>1</v>
      </c>
      <c r="X21" s="129"/>
      <c r="Y21" s="129">
        <v>1</v>
      </c>
      <c r="Z21" s="129"/>
      <c r="AA21" s="129">
        <v>1</v>
      </c>
      <c r="AB21" s="129"/>
      <c r="AC21" s="129">
        <v>1</v>
      </c>
      <c r="AD21" s="129"/>
      <c r="AE21" s="146">
        <f t="shared" si="0"/>
        <v>8</v>
      </c>
      <c r="AF21" s="146" t="s">
        <v>180</v>
      </c>
      <c r="AG21" s="162">
        <v>3500</v>
      </c>
      <c r="AH21" s="162">
        <f t="shared" ref="AH21:AH31" si="3">AE21*AG21</f>
        <v>28000</v>
      </c>
      <c r="AI21" s="162">
        <v>3500</v>
      </c>
      <c r="AJ21" s="151"/>
      <c r="AK21" s="151"/>
      <c r="AL21" s="151"/>
      <c r="AM21" s="151"/>
      <c r="AN21" s="148">
        <f t="shared" si="1"/>
        <v>24500</v>
      </c>
      <c r="AO21" s="146"/>
      <c r="AP21" s="124"/>
      <c r="AQ21" s="125" t="s">
        <v>140</v>
      </c>
      <c r="AR21" s="125" t="s">
        <v>163</v>
      </c>
      <c r="AS21" s="124"/>
    </row>
    <row r="22" spans="1:45" ht="19.149999999999999" customHeight="1" x14ac:dyDescent="0.3">
      <c r="A22" s="124"/>
      <c r="B22" s="124"/>
      <c r="C22" s="125" t="s">
        <v>17</v>
      </c>
      <c r="D22" s="125" t="s">
        <v>108</v>
      </c>
      <c r="E22" s="313"/>
      <c r="F22" s="125" t="s">
        <v>66</v>
      </c>
      <c r="G22" s="125" t="s">
        <v>75</v>
      </c>
      <c r="H22" s="125" t="s">
        <v>81</v>
      </c>
      <c r="I22" s="125" t="s">
        <v>37</v>
      </c>
      <c r="J22" s="129"/>
      <c r="K22" s="129"/>
      <c r="L22" s="129"/>
      <c r="M22" s="129"/>
      <c r="N22" s="129"/>
      <c r="O22" s="129"/>
      <c r="P22" s="129">
        <v>1</v>
      </c>
      <c r="Q22" s="129">
        <v>1</v>
      </c>
      <c r="R22" s="129">
        <v>1</v>
      </c>
      <c r="S22" s="129"/>
      <c r="T22" s="129"/>
      <c r="U22" s="129"/>
      <c r="V22" s="129"/>
      <c r="W22" s="129"/>
      <c r="X22" s="129"/>
      <c r="Y22" s="129"/>
      <c r="Z22" s="129"/>
      <c r="AA22" s="129"/>
      <c r="AB22" s="129"/>
      <c r="AC22" s="129"/>
      <c r="AD22" s="129"/>
      <c r="AE22" s="146">
        <f t="shared" si="0"/>
        <v>3</v>
      </c>
      <c r="AF22" s="146" t="s">
        <v>185</v>
      </c>
      <c r="AG22" s="162">
        <v>1000</v>
      </c>
      <c r="AH22" s="162">
        <f t="shared" si="3"/>
        <v>3000</v>
      </c>
      <c r="AI22" s="162"/>
      <c r="AJ22" s="147"/>
      <c r="AK22" s="147"/>
      <c r="AL22" s="147"/>
      <c r="AM22" s="147"/>
      <c r="AN22" s="148">
        <f t="shared" si="1"/>
        <v>3000</v>
      </c>
      <c r="AO22" s="146"/>
      <c r="AP22" s="124"/>
      <c r="AQ22" s="125" t="s">
        <v>141</v>
      </c>
      <c r="AR22" s="125" t="s">
        <v>163</v>
      </c>
      <c r="AS22" s="124"/>
    </row>
    <row r="23" spans="1:45" ht="19.149999999999999" customHeight="1" x14ac:dyDescent="0.3">
      <c r="A23" s="124"/>
      <c r="B23" s="124"/>
      <c r="C23" s="124" t="s">
        <v>221</v>
      </c>
      <c r="D23" s="124" t="s">
        <v>109</v>
      </c>
      <c r="E23" s="131" t="s">
        <v>175</v>
      </c>
      <c r="F23" s="125" t="s">
        <v>62</v>
      </c>
      <c r="G23" s="125" t="s">
        <v>38</v>
      </c>
      <c r="H23" s="125" t="s">
        <v>29</v>
      </c>
      <c r="I23" s="125" t="s">
        <v>37</v>
      </c>
      <c r="J23" s="129"/>
      <c r="K23" s="129"/>
      <c r="L23" s="129"/>
      <c r="M23" s="129"/>
      <c r="N23" s="129"/>
      <c r="O23" s="129"/>
      <c r="P23" s="129"/>
      <c r="Q23" s="129"/>
      <c r="R23" s="129">
        <v>2</v>
      </c>
      <c r="S23" s="129"/>
      <c r="T23" s="129"/>
      <c r="U23" s="129"/>
      <c r="V23" s="129"/>
      <c r="W23" s="129"/>
      <c r="X23" s="129"/>
      <c r="Y23" s="129"/>
      <c r="Z23" s="129"/>
      <c r="AA23" s="129"/>
      <c r="AB23" s="129"/>
      <c r="AC23" s="129"/>
      <c r="AD23" s="129"/>
      <c r="AE23" s="146">
        <f t="shared" si="0"/>
        <v>2</v>
      </c>
      <c r="AF23" s="146" t="s">
        <v>180</v>
      </c>
      <c r="AG23" s="162">
        <v>3000</v>
      </c>
      <c r="AH23" s="162">
        <f t="shared" si="3"/>
        <v>6000</v>
      </c>
      <c r="AI23" s="162"/>
      <c r="AJ23" s="151"/>
      <c r="AK23" s="151"/>
      <c r="AL23" s="151"/>
      <c r="AM23" s="151"/>
      <c r="AN23" s="148">
        <f t="shared" si="1"/>
        <v>6000</v>
      </c>
      <c r="AO23" s="146"/>
      <c r="AP23" s="124"/>
      <c r="AQ23" s="125" t="s">
        <v>142</v>
      </c>
      <c r="AR23" s="125" t="s">
        <v>163</v>
      </c>
      <c r="AS23" s="124"/>
    </row>
    <row r="24" spans="1:45" ht="19.149999999999999" customHeight="1" x14ac:dyDescent="0.3">
      <c r="A24" s="124"/>
      <c r="B24" s="124"/>
      <c r="C24" s="124" t="s">
        <v>18</v>
      </c>
      <c r="D24" s="124" t="s">
        <v>110</v>
      </c>
      <c r="E24" s="313" t="s">
        <v>173</v>
      </c>
      <c r="F24" s="125" t="s">
        <v>67</v>
      </c>
      <c r="G24" s="125" t="s">
        <v>39</v>
      </c>
      <c r="H24" s="125" t="s">
        <v>80</v>
      </c>
      <c r="I24" s="125" t="s">
        <v>120</v>
      </c>
      <c r="J24" s="129"/>
      <c r="K24" s="129"/>
      <c r="L24" s="129"/>
      <c r="M24" s="129"/>
      <c r="N24" s="129"/>
      <c r="O24" s="129"/>
      <c r="P24" s="129">
        <v>1</v>
      </c>
      <c r="Q24" s="129">
        <v>1</v>
      </c>
      <c r="R24" s="129">
        <v>1</v>
      </c>
      <c r="S24" s="129"/>
      <c r="T24" s="129"/>
      <c r="U24" s="129"/>
      <c r="V24" s="129"/>
      <c r="W24" s="129"/>
      <c r="X24" s="129"/>
      <c r="Y24" s="129"/>
      <c r="Z24" s="129"/>
      <c r="AA24" s="129"/>
      <c r="AB24" s="129"/>
      <c r="AC24" s="129"/>
      <c r="AD24" s="129"/>
      <c r="AE24" s="146">
        <f t="shared" si="0"/>
        <v>3</v>
      </c>
      <c r="AF24" s="146" t="s">
        <v>180</v>
      </c>
      <c r="AG24" s="162">
        <v>500</v>
      </c>
      <c r="AH24" s="162">
        <f t="shared" si="3"/>
        <v>1500</v>
      </c>
      <c r="AI24" s="162"/>
      <c r="AJ24" s="147"/>
      <c r="AK24" s="147"/>
      <c r="AL24" s="147"/>
      <c r="AM24" s="147"/>
      <c r="AN24" s="148">
        <f t="shared" si="1"/>
        <v>1500</v>
      </c>
      <c r="AO24" s="146"/>
      <c r="AP24" s="124"/>
      <c r="AQ24" s="124" t="s">
        <v>145</v>
      </c>
      <c r="AR24" s="125" t="s">
        <v>163</v>
      </c>
      <c r="AS24" s="124"/>
    </row>
    <row r="25" spans="1:45" ht="19.149999999999999" customHeight="1" x14ac:dyDescent="0.3">
      <c r="A25" s="124"/>
      <c r="B25" s="124"/>
      <c r="C25" s="124" t="s">
        <v>40</v>
      </c>
      <c r="D25" s="124" t="s">
        <v>111</v>
      </c>
      <c r="E25" s="313"/>
      <c r="F25" s="125" t="s">
        <v>68</v>
      </c>
      <c r="G25" s="125" t="s">
        <v>84</v>
      </c>
      <c r="H25" s="124" t="s">
        <v>79</v>
      </c>
      <c r="I25" s="125" t="s">
        <v>121</v>
      </c>
      <c r="J25" s="129"/>
      <c r="K25" s="129"/>
      <c r="L25" s="129"/>
      <c r="M25" s="129"/>
      <c r="N25" s="129"/>
      <c r="O25" s="129">
        <v>1</v>
      </c>
      <c r="P25" s="129"/>
      <c r="Q25" s="129"/>
      <c r="R25" s="129"/>
      <c r="S25" s="129"/>
      <c r="T25" s="129"/>
      <c r="U25" s="129"/>
      <c r="V25" s="129"/>
      <c r="W25" s="129"/>
      <c r="X25" s="129"/>
      <c r="Y25" s="129"/>
      <c r="Z25" s="129"/>
      <c r="AA25" s="129"/>
      <c r="AB25" s="129"/>
      <c r="AC25" s="129"/>
      <c r="AD25" s="129"/>
      <c r="AE25" s="146">
        <f t="shared" si="0"/>
        <v>1</v>
      </c>
      <c r="AF25" s="146" t="s">
        <v>180</v>
      </c>
      <c r="AG25" s="162">
        <v>50000</v>
      </c>
      <c r="AH25" s="162">
        <f t="shared" si="3"/>
        <v>50000</v>
      </c>
      <c r="AI25" s="162"/>
      <c r="AJ25" s="162">
        <v>50000</v>
      </c>
      <c r="AK25" s="147"/>
      <c r="AL25" s="147"/>
      <c r="AM25" s="147"/>
      <c r="AN25" s="148">
        <f t="shared" si="1"/>
        <v>0</v>
      </c>
      <c r="AO25" s="146"/>
      <c r="AP25" s="124" t="s">
        <v>134</v>
      </c>
      <c r="AQ25" s="125" t="s">
        <v>144</v>
      </c>
      <c r="AR25" s="125" t="s">
        <v>163</v>
      </c>
      <c r="AS25" s="124"/>
    </row>
    <row r="26" spans="1:45" ht="19.149999999999999" customHeight="1" x14ac:dyDescent="0.3">
      <c r="A26" s="124"/>
      <c r="B26" s="124"/>
      <c r="C26" s="124" t="s">
        <v>19</v>
      </c>
      <c r="D26" s="124" t="s">
        <v>110</v>
      </c>
      <c r="E26" s="313"/>
      <c r="F26" s="125" t="s">
        <v>83</v>
      </c>
      <c r="G26" s="124" t="s">
        <v>41</v>
      </c>
      <c r="H26" s="124" t="s">
        <v>79</v>
      </c>
      <c r="I26" s="125" t="s">
        <v>120</v>
      </c>
      <c r="J26" s="129"/>
      <c r="K26" s="129"/>
      <c r="L26" s="129"/>
      <c r="M26" s="129"/>
      <c r="N26" s="129"/>
      <c r="O26" s="129"/>
      <c r="P26" s="129"/>
      <c r="Q26" s="129">
        <v>1</v>
      </c>
      <c r="R26" s="129"/>
      <c r="S26" s="129"/>
      <c r="T26" s="129"/>
      <c r="U26" s="129"/>
      <c r="V26" s="129"/>
      <c r="W26" s="129"/>
      <c r="X26" s="129"/>
      <c r="Y26" s="129"/>
      <c r="Z26" s="129"/>
      <c r="AA26" s="129"/>
      <c r="AB26" s="129"/>
      <c r="AC26" s="129"/>
      <c r="AD26" s="129"/>
      <c r="AE26" s="146">
        <f t="shared" si="0"/>
        <v>1</v>
      </c>
      <c r="AF26" s="146" t="s">
        <v>180</v>
      </c>
      <c r="AG26" s="162">
        <v>30000</v>
      </c>
      <c r="AH26" s="162">
        <f t="shared" si="3"/>
        <v>30000</v>
      </c>
      <c r="AI26" s="230"/>
      <c r="AJ26" s="153"/>
      <c r="AK26" s="153"/>
      <c r="AL26" s="153"/>
      <c r="AM26" s="153"/>
      <c r="AN26" s="148">
        <f t="shared" si="1"/>
        <v>30000</v>
      </c>
      <c r="AO26" s="146" t="s">
        <v>187</v>
      </c>
      <c r="AP26" s="124" t="s">
        <v>133</v>
      </c>
      <c r="AQ26" s="125" t="s">
        <v>143</v>
      </c>
      <c r="AR26" s="125" t="s">
        <v>163</v>
      </c>
      <c r="AS26" s="124"/>
    </row>
    <row r="27" spans="1:45" ht="19.149999999999999" customHeight="1" x14ac:dyDescent="0.3">
      <c r="A27" s="124"/>
      <c r="B27" s="124"/>
      <c r="C27" s="124" t="s">
        <v>20</v>
      </c>
      <c r="D27" s="124" t="s">
        <v>112</v>
      </c>
      <c r="E27" s="313"/>
      <c r="F27" s="124" t="s">
        <v>85</v>
      </c>
      <c r="G27" s="125" t="s">
        <v>42</v>
      </c>
      <c r="H27" s="125" t="s">
        <v>43</v>
      </c>
      <c r="I27" s="125" t="s">
        <v>37</v>
      </c>
      <c r="J27" s="129"/>
      <c r="K27" s="129"/>
      <c r="L27" s="129"/>
      <c r="M27" s="129"/>
      <c r="N27" s="129"/>
      <c r="O27" s="129"/>
      <c r="P27" s="129">
        <v>1</v>
      </c>
      <c r="Q27" s="129"/>
      <c r="R27" s="129"/>
      <c r="S27" s="129"/>
      <c r="T27" s="129"/>
      <c r="U27" s="129"/>
      <c r="V27" s="129"/>
      <c r="W27" s="129"/>
      <c r="X27" s="129"/>
      <c r="Y27" s="129"/>
      <c r="Z27" s="129"/>
      <c r="AA27" s="129"/>
      <c r="AB27" s="129"/>
      <c r="AC27" s="129"/>
      <c r="AD27" s="129"/>
      <c r="AE27" s="146">
        <f t="shared" si="0"/>
        <v>1</v>
      </c>
      <c r="AF27" s="146" t="s">
        <v>180</v>
      </c>
      <c r="AG27" s="162">
        <v>1000</v>
      </c>
      <c r="AH27" s="162">
        <f t="shared" si="3"/>
        <v>1000</v>
      </c>
      <c r="AI27" s="162"/>
      <c r="AJ27" s="147"/>
      <c r="AK27" s="147"/>
      <c r="AL27" s="147"/>
      <c r="AM27" s="147"/>
      <c r="AN27" s="148">
        <f t="shared" si="1"/>
        <v>1000</v>
      </c>
      <c r="AO27" s="146"/>
      <c r="AP27" s="124"/>
      <c r="AQ27" s="125" t="s">
        <v>141</v>
      </c>
      <c r="AR27" s="125" t="s">
        <v>163</v>
      </c>
      <c r="AS27" s="124"/>
    </row>
    <row r="28" spans="1:45" ht="19.149999999999999" customHeight="1" x14ac:dyDescent="0.3">
      <c r="A28" s="124"/>
      <c r="B28" s="124"/>
      <c r="C28" s="124" t="s">
        <v>21</v>
      </c>
      <c r="D28" s="124" t="s">
        <v>110</v>
      </c>
      <c r="E28" s="314"/>
      <c r="F28" s="125" t="s">
        <v>86</v>
      </c>
      <c r="G28" s="125" t="s">
        <v>74</v>
      </c>
      <c r="H28" s="125" t="s">
        <v>44</v>
      </c>
      <c r="I28" s="124" t="s">
        <v>119</v>
      </c>
      <c r="J28" s="132"/>
      <c r="K28" s="132"/>
      <c r="L28" s="132"/>
      <c r="M28" s="132"/>
      <c r="N28" s="132">
        <v>1</v>
      </c>
      <c r="O28" s="132"/>
      <c r="P28" s="132"/>
      <c r="Q28" s="132"/>
      <c r="R28" s="132"/>
      <c r="S28" s="132"/>
      <c r="T28" s="132"/>
      <c r="U28" s="132"/>
      <c r="V28" s="132"/>
      <c r="W28" s="132"/>
      <c r="X28" s="132"/>
      <c r="Y28" s="132"/>
      <c r="Z28" s="132"/>
      <c r="AA28" s="132"/>
      <c r="AB28" s="132"/>
      <c r="AC28" s="132"/>
      <c r="AD28" s="132"/>
      <c r="AE28" s="146">
        <f t="shared" si="0"/>
        <v>1</v>
      </c>
      <c r="AF28" s="146" t="s">
        <v>180</v>
      </c>
      <c r="AG28" s="162">
        <v>20000</v>
      </c>
      <c r="AH28" s="162">
        <f t="shared" si="3"/>
        <v>20000</v>
      </c>
      <c r="AI28" s="162"/>
      <c r="AJ28" s="162">
        <v>20000</v>
      </c>
      <c r="AK28" s="147"/>
      <c r="AL28" s="147"/>
      <c r="AM28" s="147"/>
      <c r="AN28" s="148">
        <f t="shared" si="1"/>
        <v>0</v>
      </c>
      <c r="AO28" s="146"/>
      <c r="AP28" s="124"/>
      <c r="AQ28" s="125" t="s">
        <v>146</v>
      </c>
      <c r="AR28" s="125" t="s">
        <v>163</v>
      </c>
      <c r="AS28" s="124"/>
    </row>
    <row r="29" spans="1:45" ht="19.149999999999999" customHeight="1" x14ac:dyDescent="0.3">
      <c r="A29" s="124"/>
      <c r="B29" s="124"/>
      <c r="C29" s="132" t="s">
        <v>218</v>
      </c>
      <c r="D29" s="124" t="s">
        <v>594</v>
      </c>
      <c r="E29" s="133"/>
      <c r="F29" s="125"/>
      <c r="G29" s="125"/>
      <c r="H29" s="125"/>
      <c r="I29" s="124"/>
      <c r="J29" s="132"/>
      <c r="K29" s="132"/>
      <c r="L29" s="132"/>
      <c r="M29" s="132"/>
      <c r="N29" s="132"/>
      <c r="O29" s="132"/>
      <c r="P29" s="132"/>
      <c r="Q29" s="132"/>
      <c r="R29" s="132">
        <v>1</v>
      </c>
      <c r="S29" s="132"/>
      <c r="T29" s="132"/>
      <c r="U29" s="132"/>
      <c r="V29" s="132"/>
      <c r="W29" s="132"/>
      <c r="X29" s="132"/>
      <c r="Y29" s="132"/>
      <c r="Z29" s="132"/>
      <c r="AA29" s="132"/>
      <c r="AB29" s="132"/>
      <c r="AC29" s="132"/>
      <c r="AD29" s="132"/>
      <c r="AE29" s="146">
        <f t="shared" si="0"/>
        <v>1</v>
      </c>
      <c r="AF29" s="146" t="s">
        <v>180</v>
      </c>
      <c r="AG29" s="162">
        <v>3000</v>
      </c>
      <c r="AH29" s="162">
        <f t="shared" si="3"/>
        <v>3000</v>
      </c>
      <c r="AI29" s="162"/>
      <c r="AJ29" s="147"/>
      <c r="AK29" s="147"/>
      <c r="AL29" s="147"/>
      <c r="AM29" s="147"/>
      <c r="AN29" s="148">
        <f t="shared" si="1"/>
        <v>3000</v>
      </c>
      <c r="AO29" s="146"/>
      <c r="AP29" s="124"/>
      <c r="AQ29" s="125"/>
      <c r="AR29" s="125"/>
      <c r="AS29" s="124"/>
    </row>
    <row r="30" spans="1:45" ht="19.149999999999999" customHeight="1" x14ac:dyDescent="0.3">
      <c r="A30" s="124"/>
      <c r="B30" s="124"/>
      <c r="C30" s="132" t="s">
        <v>219</v>
      </c>
      <c r="D30" s="124" t="s">
        <v>113</v>
      </c>
      <c r="E30" s="126" t="s">
        <v>175</v>
      </c>
      <c r="F30" s="125" t="s">
        <v>87</v>
      </c>
      <c r="G30" s="125" t="s">
        <v>61</v>
      </c>
      <c r="H30" s="125" t="s">
        <v>45</v>
      </c>
      <c r="I30" s="125" t="s">
        <v>122</v>
      </c>
      <c r="J30" s="129"/>
      <c r="K30" s="129"/>
      <c r="L30" s="129"/>
      <c r="M30" s="129"/>
      <c r="N30" s="129"/>
      <c r="O30" s="129"/>
      <c r="P30" s="129"/>
      <c r="Q30" s="129"/>
      <c r="R30" s="129">
        <v>1</v>
      </c>
      <c r="S30" s="129"/>
      <c r="T30" s="129"/>
      <c r="U30" s="129"/>
      <c r="V30" s="129"/>
      <c r="W30" s="129"/>
      <c r="X30" s="129"/>
      <c r="Y30" s="129"/>
      <c r="Z30" s="129"/>
      <c r="AA30" s="129"/>
      <c r="AB30" s="129"/>
      <c r="AC30" s="129"/>
      <c r="AD30" s="129"/>
      <c r="AE30" s="146">
        <f t="shared" si="0"/>
        <v>1</v>
      </c>
      <c r="AF30" s="146" t="s">
        <v>180</v>
      </c>
      <c r="AG30" s="162">
        <v>1000</v>
      </c>
      <c r="AH30" s="162">
        <f t="shared" si="3"/>
        <v>1000</v>
      </c>
      <c r="AI30" s="162"/>
      <c r="AJ30" s="147"/>
      <c r="AK30" s="147"/>
      <c r="AL30" s="147"/>
      <c r="AM30" s="147"/>
      <c r="AN30" s="148">
        <f t="shared" si="1"/>
        <v>1000</v>
      </c>
      <c r="AO30" s="146"/>
      <c r="AP30" s="124"/>
      <c r="AQ30" s="125" t="s">
        <v>147</v>
      </c>
      <c r="AR30" s="125" t="s">
        <v>163</v>
      </c>
      <c r="AS30" s="124"/>
    </row>
    <row r="31" spans="1:45" ht="20.25" customHeight="1" x14ac:dyDescent="0.3">
      <c r="A31" s="124"/>
      <c r="B31" s="124"/>
      <c r="C31" s="124" t="s">
        <v>220</v>
      </c>
      <c r="D31" s="134" t="s">
        <v>212</v>
      </c>
      <c r="E31" s="126"/>
      <c r="F31" s="125"/>
      <c r="G31" s="125"/>
      <c r="H31" s="125"/>
      <c r="I31" s="125"/>
      <c r="J31" s="129"/>
      <c r="K31" s="129"/>
      <c r="L31" s="129"/>
      <c r="M31" s="129"/>
      <c r="N31" s="129"/>
      <c r="O31" s="129"/>
      <c r="P31" s="129"/>
      <c r="Q31" s="129"/>
      <c r="R31" s="129"/>
      <c r="S31" s="129"/>
      <c r="T31" s="129"/>
      <c r="U31" s="129"/>
      <c r="V31" s="129"/>
      <c r="W31" s="129"/>
      <c r="X31" s="129">
        <v>1</v>
      </c>
      <c r="Y31" s="129"/>
      <c r="Z31" s="129"/>
      <c r="AA31" s="129"/>
      <c r="AB31" s="129"/>
      <c r="AC31" s="129"/>
      <c r="AD31" s="129"/>
      <c r="AE31" s="146">
        <f t="shared" si="0"/>
        <v>1</v>
      </c>
      <c r="AF31" s="146" t="s">
        <v>180</v>
      </c>
      <c r="AG31" s="162">
        <v>238</v>
      </c>
      <c r="AH31" s="162">
        <f t="shared" si="3"/>
        <v>238</v>
      </c>
      <c r="AI31" s="162"/>
      <c r="AJ31" s="151"/>
      <c r="AK31" s="151"/>
      <c r="AL31" s="151"/>
      <c r="AM31" s="151"/>
      <c r="AN31" s="148">
        <f t="shared" si="1"/>
        <v>238</v>
      </c>
      <c r="AO31" s="146"/>
      <c r="AP31" s="124"/>
      <c r="AQ31" s="125"/>
      <c r="AR31" s="125"/>
      <c r="AS31" s="124"/>
    </row>
    <row r="32" spans="1:45" s="3" customFormat="1" ht="19.149999999999999" customHeight="1" x14ac:dyDescent="0.3">
      <c r="A32" s="121">
        <v>5</v>
      </c>
      <c r="B32" s="122" t="s">
        <v>22</v>
      </c>
      <c r="C32" s="122"/>
      <c r="D32" s="122"/>
      <c r="E32" s="122"/>
      <c r="F32" s="122"/>
      <c r="G32" s="122"/>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58"/>
      <c r="AF32" s="149"/>
      <c r="AG32" s="237"/>
      <c r="AH32" s="237"/>
      <c r="AI32" s="238"/>
      <c r="AJ32" s="149"/>
      <c r="AK32" s="149"/>
      <c r="AL32" s="149"/>
      <c r="AM32" s="149"/>
      <c r="AN32" s="160">
        <f t="shared" si="1"/>
        <v>0</v>
      </c>
      <c r="AO32" s="149"/>
      <c r="AP32" s="122"/>
      <c r="AQ32" s="122"/>
      <c r="AR32" s="122"/>
      <c r="AS32" s="122"/>
    </row>
    <row r="33" spans="1:45" ht="19.149999999999999" customHeight="1" x14ac:dyDescent="0.3">
      <c r="A33" s="124"/>
      <c r="B33" s="124"/>
      <c r="C33" s="124" t="s">
        <v>23</v>
      </c>
      <c r="D33" s="124" t="s">
        <v>111</v>
      </c>
      <c r="E33" s="126" t="s">
        <v>175</v>
      </c>
      <c r="F33" s="125" t="s">
        <v>69</v>
      </c>
      <c r="G33" s="125" t="s">
        <v>73</v>
      </c>
      <c r="H33" s="125" t="s">
        <v>30</v>
      </c>
      <c r="I33" s="125" t="s">
        <v>118</v>
      </c>
      <c r="J33" s="129"/>
      <c r="K33" s="129"/>
      <c r="L33" s="129"/>
      <c r="M33" s="129"/>
      <c r="N33" s="129"/>
      <c r="O33" s="129"/>
      <c r="P33" s="129"/>
      <c r="Q33" s="129">
        <v>1</v>
      </c>
      <c r="R33" s="129"/>
      <c r="S33" s="129"/>
      <c r="T33" s="129"/>
      <c r="U33" s="129"/>
      <c r="V33" s="129"/>
      <c r="W33" s="129"/>
      <c r="X33" s="129"/>
      <c r="Y33" s="129"/>
      <c r="Z33" s="129"/>
      <c r="AA33" s="129"/>
      <c r="AB33" s="129"/>
      <c r="AC33" s="129">
        <v>1</v>
      </c>
      <c r="AD33" s="129"/>
      <c r="AE33" s="146">
        <f t="shared" si="0"/>
        <v>2</v>
      </c>
      <c r="AF33" s="146" t="s">
        <v>180</v>
      </c>
      <c r="AG33" s="162">
        <v>1000</v>
      </c>
      <c r="AH33" s="162">
        <f>AE33*AG33</f>
        <v>2000</v>
      </c>
      <c r="AI33" s="162">
        <v>1500</v>
      </c>
      <c r="AJ33" s="151"/>
      <c r="AK33" s="151"/>
      <c r="AL33" s="151"/>
      <c r="AM33" s="151"/>
      <c r="AN33" s="148">
        <f t="shared" si="1"/>
        <v>500</v>
      </c>
      <c r="AO33" s="146"/>
      <c r="AP33" s="124"/>
      <c r="AQ33" s="125" t="s">
        <v>148</v>
      </c>
      <c r="AR33" s="124" t="s">
        <v>164</v>
      </c>
      <c r="AS33" s="124"/>
    </row>
    <row r="34" spans="1:45" ht="19.149999999999999" customHeight="1" x14ac:dyDescent="0.3">
      <c r="A34" s="124"/>
      <c r="B34" s="124"/>
      <c r="C34" s="124" t="s">
        <v>210</v>
      </c>
      <c r="D34" s="124" t="s">
        <v>211</v>
      </c>
      <c r="E34" s="126"/>
      <c r="F34" s="125"/>
      <c r="G34" s="125"/>
      <c r="H34" s="125"/>
      <c r="I34" s="125"/>
      <c r="J34" s="129"/>
      <c r="K34" s="129"/>
      <c r="L34" s="129"/>
      <c r="M34" s="129">
        <v>2</v>
      </c>
      <c r="N34" s="129"/>
      <c r="O34" s="129"/>
      <c r="P34" s="129"/>
      <c r="Q34" s="129"/>
      <c r="R34" s="129"/>
      <c r="S34" s="129"/>
      <c r="T34" s="129"/>
      <c r="U34" s="129"/>
      <c r="V34" s="129"/>
      <c r="W34" s="129"/>
      <c r="X34" s="129"/>
      <c r="Y34" s="129"/>
      <c r="Z34" s="129"/>
      <c r="AA34" s="129"/>
      <c r="AB34" s="129"/>
      <c r="AC34" s="129"/>
      <c r="AD34" s="129"/>
      <c r="AE34" s="146">
        <f t="shared" si="0"/>
        <v>2</v>
      </c>
      <c r="AF34" s="146" t="s">
        <v>180</v>
      </c>
      <c r="AG34" s="162">
        <v>3000</v>
      </c>
      <c r="AH34" s="162">
        <f>AE34*AG34</f>
        <v>6000</v>
      </c>
      <c r="AI34" s="162">
        <v>3000</v>
      </c>
      <c r="AJ34" s="151"/>
      <c r="AK34" s="151"/>
      <c r="AL34" s="151"/>
      <c r="AM34" s="151"/>
      <c r="AN34" s="148">
        <f t="shared" si="1"/>
        <v>3000</v>
      </c>
      <c r="AO34" s="146"/>
      <c r="AP34" s="124"/>
      <c r="AQ34" s="125"/>
      <c r="AR34" s="124"/>
      <c r="AS34" s="124"/>
    </row>
    <row r="35" spans="1:45" s="3" customFormat="1" ht="19.149999999999999" customHeight="1" x14ac:dyDescent="0.3">
      <c r="A35" s="121">
        <v>6</v>
      </c>
      <c r="B35" s="122" t="s">
        <v>208</v>
      </c>
      <c r="C35" s="122"/>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58"/>
      <c r="AF35" s="149"/>
      <c r="AG35" s="237"/>
      <c r="AH35" s="237"/>
      <c r="AI35" s="237"/>
      <c r="AJ35" s="150"/>
      <c r="AK35" s="150"/>
      <c r="AL35" s="150"/>
      <c r="AM35" s="150"/>
      <c r="AN35" s="160">
        <f t="shared" si="1"/>
        <v>0</v>
      </c>
      <c r="AO35" s="149"/>
      <c r="AP35" s="122"/>
      <c r="AQ35" s="122"/>
      <c r="AR35" s="122"/>
      <c r="AS35" s="122"/>
    </row>
    <row r="36" spans="1:45" ht="19.149999999999999" customHeight="1" x14ac:dyDescent="0.3">
      <c r="A36" s="124"/>
      <c r="B36" s="124"/>
      <c r="C36" s="124" t="s">
        <v>31</v>
      </c>
      <c r="D36" s="124" t="s">
        <v>114</v>
      </c>
      <c r="E36" s="312" t="s">
        <v>175</v>
      </c>
      <c r="F36" s="125" t="s">
        <v>63</v>
      </c>
      <c r="G36" s="125" t="s">
        <v>72</v>
      </c>
      <c r="H36" s="125" t="s">
        <v>30</v>
      </c>
      <c r="I36" s="125" t="s">
        <v>123</v>
      </c>
      <c r="J36" s="129"/>
      <c r="K36" s="129"/>
      <c r="L36" s="129"/>
      <c r="M36" s="129"/>
      <c r="N36" s="129"/>
      <c r="O36" s="129"/>
      <c r="P36" s="129">
        <v>1</v>
      </c>
      <c r="Q36" s="129">
        <v>1</v>
      </c>
      <c r="R36" s="129"/>
      <c r="S36" s="129"/>
      <c r="T36" s="129"/>
      <c r="U36" s="129"/>
      <c r="V36" s="129"/>
      <c r="W36" s="129"/>
      <c r="X36" s="129"/>
      <c r="Y36" s="129"/>
      <c r="Z36" s="129"/>
      <c r="AA36" s="129"/>
      <c r="AB36" s="129"/>
      <c r="AC36" s="129"/>
      <c r="AD36" s="129"/>
      <c r="AE36" s="146">
        <f t="shared" si="0"/>
        <v>2</v>
      </c>
      <c r="AF36" s="146" t="s">
        <v>180</v>
      </c>
      <c r="AG36" s="162">
        <v>2500</v>
      </c>
      <c r="AH36" s="162">
        <f t="shared" ref="AH36:AH42" si="4">AE36*AG36</f>
        <v>5000</v>
      </c>
      <c r="AI36" s="162">
        <v>5000</v>
      </c>
      <c r="AJ36" s="151"/>
      <c r="AK36" s="151"/>
      <c r="AL36" s="151"/>
      <c r="AM36" s="151"/>
      <c r="AN36" s="163">
        <f t="shared" si="1"/>
        <v>0</v>
      </c>
      <c r="AO36" s="146"/>
      <c r="AP36" s="124"/>
      <c r="AQ36" s="125" t="s">
        <v>165</v>
      </c>
      <c r="AR36" s="125" t="s">
        <v>167</v>
      </c>
      <c r="AS36" s="124"/>
    </row>
    <row r="37" spans="1:45" ht="19.149999999999999" customHeight="1" x14ac:dyDescent="0.3">
      <c r="A37" s="124"/>
      <c r="B37" s="124"/>
      <c r="C37" s="124" t="s">
        <v>32</v>
      </c>
      <c r="D37" s="124" t="s">
        <v>114</v>
      </c>
      <c r="E37" s="314"/>
      <c r="F37" s="125" t="s">
        <v>63</v>
      </c>
      <c r="G37" s="125" t="s">
        <v>72</v>
      </c>
      <c r="H37" s="125" t="s">
        <v>30</v>
      </c>
      <c r="I37" s="125" t="s">
        <v>123</v>
      </c>
      <c r="J37" s="129"/>
      <c r="K37" s="129"/>
      <c r="L37" s="129"/>
      <c r="M37" s="129"/>
      <c r="N37" s="129"/>
      <c r="O37" s="129"/>
      <c r="P37" s="129"/>
      <c r="Q37" s="129">
        <v>1</v>
      </c>
      <c r="R37" s="129">
        <v>1</v>
      </c>
      <c r="S37" s="129"/>
      <c r="T37" s="129"/>
      <c r="U37" s="129"/>
      <c r="V37" s="129"/>
      <c r="W37" s="129"/>
      <c r="X37" s="129"/>
      <c r="Y37" s="129"/>
      <c r="Z37" s="129"/>
      <c r="AA37" s="129"/>
      <c r="AB37" s="129"/>
      <c r="AC37" s="129"/>
      <c r="AD37" s="129"/>
      <c r="AE37" s="146">
        <f t="shared" si="0"/>
        <v>2</v>
      </c>
      <c r="AF37" s="146" t="s">
        <v>180</v>
      </c>
      <c r="AG37" s="162">
        <v>2500</v>
      </c>
      <c r="AH37" s="162">
        <f t="shared" si="4"/>
        <v>5000</v>
      </c>
      <c r="AI37" s="162"/>
      <c r="AJ37" s="162">
        <v>5000</v>
      </c>
      <c r="AK37" s="151"/>
      <c r="AL37" s="151"/>
      <c r="AM37" s="151"/>
      <c r="AN37" s="163">
        <f t="shared" si="1"/>
        <v>0</v>
      </c>
      <c r="AO37" s="146"/>
      <c r="AP37" s="124"/>
      <c r="AQ37" s="125" t="s">
        <v>166</v>
      </c>
      <c r="AR37" s="125" t="s">
        <v>167</v>
      </c>
      <c r="AS37" s="124"/>
    </row>
    <row r="38" spans="1:45" ht="27" customHeight="1" x14ac:dyDescent="0.3">
      <c r="A38" s="124"/>
      <c r="B38" s="124"/>
      <c r="C38" s="124" t="s">
        <v>595</v>
      </c>
      <c r="D38" s="124" t="s">
        <v>224</v>
      </c>
      <c r="E38" s="133"/>
      <c r="F38" s="125"/>
      <c r="G38" s="125"/>
      <c r="H38" s="125"/>
      <c r="I38" s="125"/>
      <c r="J38" s="129"/>
      <c r="K38" s="129"/>
      <c r="L38" s="129"/>
      <c r="M38" s="129"/>
      <c r="N38" s="129">
        <v>1</v>
      </c>
      <c r="O38" s="129"/>
      <c r="P38" s="129"/>
      <c r="Q38" s="129"/>
      <c r="R38" s="129"/>
      <c r="S38" s="129"/>
      <c r="T38" s="129"/>
      <c r="U38" s="129"/>
      <c r="V38" s="129"/>
      <c r="W38" s="129"/>
      <c r="X38" s="129"/>
      <c r="Y38" s="129"/>
      <c r="Z38" s="129"/>
      <c r="AA38" s="129"/>
      <c r="AB38" s="129"/>
      <c r="AC38" s="129"/>
      <c r="AD38" s="129"/>
      <c r="AE38" s="146">
        <f t="shared" si="0"/>
        <v>1</v>
      </c>
      <c r="AF38" s="146" t="s">
        <v>180</v>
      </c>
      <c r="AG38" s="162">
        <v>10650</v>
      </c>
      <c r="AH38" s="162">
        <f t="shared" si="4"/>
        <v>10650</v>
      </c>
      <c r="AI38" s="162">
        <v>7500</v>
      </c>
      <c r="AJ38" s="151"/>
      <c r="AK38" s="151"/>
      <c r="AL38" s="151"/>
      <c r="AM38" s="151"/>
      <c r="AN38" s="163">
        <f t="shared" si="1"/>
        <v>3150</v>
      </c>
      <c r="AO38" s="146"/>
      <c r="AP38" s="124"/>
      <c r="AQ38" s="125"/>
      <c r="AR38" s="125"/>
      <c r="AS38" s="124"/>
    </row>
    <row r="39" spans="1:45" ht="34.5" customHeight="1" x14ac:dyDescent="0.3">
      <c r="A39" s="124"/>
      <c r="B39" s="124"/>
      <c r="C39" s="161" t="s">
        <v>597</v>
      </c>
      <c r="D39" s="125" t="s">
        <v>215</v>
      </c>
      <c r="E39" s="133"/>
      <c r="F39" s="125"/>
      <c r="G39" s="125"/>
      <c r="H39" s="125"/>
      <c r="I39" s="125"/>
      <c r="J39" s="129"/>
      <c r="K39" s="129"/>
      <c r="L39" s="129"/>
      <c r="M39" s="129"/>
      <c r="N39" s="129">
        <v>1</v>
      </c>
      <c r="O39" s="129"/>
      <c r="P39" s="129"/>
      <c r="Q39" s="129"/>
      <c r="R39" s="129"/>
      <c r="S39" s="129"/>
      <c r="T39" s="129"/>
      <c r="U39" s="129"/>
      <c r="V39" s="129"/>
      <c r="W39" s="129"/>
      <c r="X39" s="129"/>
      <c r="Y39" s="129"/>
      <c r="Z39" s="129"/>
      <c r="AA39" s="129"/>
      <c r="AB39" s="129"/>
      <c r="AC39" s="129"/>
      <c r="AD39" s="129"/>
      <c r="AE39" s="146">
        <f t="shared" si="0"/>
        <v>1</v>
      </c>
      <c r="AF39" s="146" t="s">
        <v>180</v>
      </c>
      <c r="AG39" s="162">
        <v>222276</v>
      </c>
      <c r="AH39" s="162">
        <v>222276</v>
      </c>
      <c r="AI39" s="162">
        <v>222276</v>
      </c>
      <c r="AJ39" s="151"/>
      <c r="AK39" s="151"/>
      <c r="AL39" s="151"/>
      <c r="AM39" s="151"/>
      <c r="AN39" s="163">
        <f t="shared" si="1"/>
        <v>0</v>
      </c>
      <c r="AO39" s="146"/>
      <c r="AP39" s="124"/>
      <c r="AQ39" s="125"/>
      <c r="AR39" s="125"/>
      <c r="AS39" s="124"/>
    </row>
    <row r="40" spans="1:45" ht="24.75" customHeight="1" x14ac:dyDescent="0.3">
      <c r="A40" s="124"/>
      <c r="B40" s="124"/>
      <c r="C40" s="135" t="s">
        <v>596</v>
      </c>
      <c r="D40" s="125" t="s">
        <v>222</v>
      </c>
      <c r="E40" s="133"/>
      <c r="F40" s="125" t="s">
        <v>63</v>
      </c>
      <c r="G40" s="125" t="s">
        <v>72</v>
      </c>
      <c r="H40" s="125" t="s">
        <v>30</v>
      </c>
      <c r="I40" s="125" t="s">
        <v>123</v>
      </c>
      <c r="J40" s="129"/>
      <c r="K40" s="129"/>
      <c r="L40" s="129"/>
      <c r="M40" s="129"/>
      <c r="N40" s="129">
        <v>1</v>
      </c>
      <c r="O40" s="129"/>
      <c r="P40" s="129"/>
      <c r="Q40" s="129"/>
      <c r="R40" s="129"/>
      <c r="S40" s="129"/>
      <c r="T40" s="129"/>
      <c r="U40" s="129"/>
      <c r="V40" s="129"/>
      <c r="W40" s="129"/>
      <c r="X40" s="129"/>
      <c r="Y40" s="129"/>
      <c r="Z40" s="129"/>
      <c r="AA40" s="129"/>
      <c r="AB40" s="129"/>
      <c r="AC40" s="129"/>
      <c r="AD40" s="129"/>
      <c r="AE40" s="146">
        <f t="shared" si="0"/>
        <v>1</v>
      </c>
      <c r="AF40" s="146" t="s">
        <v>180</v>
      </c>
      <c r="AG40" s="162">
        <v>12000</v>
      </c>
      <c r="AH40" s="162">
        <f t="shared" si="4"/>
        <v>12000</v>
      </c>
      <c r="AI40" s="162"/>
      <c r="AJ40" s="162">
        <v>12000</v>
      </c>
      <c r="AK40" s="151"/>
      <c r="AL40" s="151"/>
      <c r="AM40" s="151"/>
      <c r="AN40" s="163">
        <f t="shared" si="1"/>
        <v>0</v>
      </c>
      <c r="AO40" s="146"/>
      <c r="AP40" s="124"/>
      <c r="AQ40" s="125" t="s">
        <v>228</v>
      </c>
      <c r="AR40" s="125"/>
      <c r="AS40" s="124"/>
    </row>
    <row r="41" spans="1:45" ht="27.75" customHeight="1" x14ac:dyDescent="0.3">
      <c r="A41" s="124"/>
      <c r="B41" s="124"/>
      <c r="C41" s="135" t="s">
        <v>598</v>
      </c>
      <c r="D41" s="125" t="s">
        <v>223</v>
      </c>
      <c r="E41" s="133"/>
      <c r="F41" s="125" t="s">
        <v>63</v>
      </c>
      <c r="G41" s="125" t="s">
        <v>72</v>
      </c>
      <c r="H41" s="125" t="s">
        <v>30</v>
      </c>
      <c r="I41" s="125" t="s">
        <v>123</v>
      </c>
      <c r="J41" s="129"/>
      <c r="K41" s="129"/>
      <c r="L41" s="129"/>
      <c r="M41" s="129"/>
      <c r="N41" s="129">
        <v>1</v>
      </c>
      <c r="O41" s="129"/>
      <c r="P41" s="129"/>
      <c r="Q41" s="129"/>
      <c r="R41" s="129"/>
      <c r="S41" s="129"/>
      <c r="T41" s="129"/>
      <c r="U41" s="129"/>
      <c r="V41" s="129"/>
      <c r="W41" s="129"/>
      <c r="X41" s="129"/>
      <c r="Y41" s="129"/>
      <c r="Z41" s="129"/>
      <c r="AA41" s="129"/>
      <c r="AB41" s="129"/>
      <c r="AC41" s="129"/>
      <c r="AD41" s="129"/>
      <c r="AE41" s="146">
        <f t="shared" si="0"/>
        <v>1</v>
      </c>
      <c r="AF41" s="146" t="s">
        <v>180</v>
      </c>
      <c r="AG41" s="162">
        <v>12000</v>
      </c>
      <c r="AH41" s="162">
        <f t="shared" si="4"/>
        <v>12000</v>
      </c>
      <c r="AI41" s="162"/>
      <c r="AJ41" s="151"/>
      <c r="AK41" s="151"/>
      <c r="AL41" s="151"/>
      <c r="AM41" s="151"/>
      <c r="AN41" s="163">
        <f t="shared" si="1"/>
        <v>12000</v>
      </c>
      <c r="AO41" s="146"/>
      <c r="AP41" s="124"/>
      <c r="AQ41" s="125" t="s">
        <v>228</v>
      </c>
      <c r="AR41" s="125"/>
      <c r="AS41" s="124"/>
    </row>
    <row r="42" spans="1:45" ht="27.75" customHeight="1" x14ac:dyDescent="0.3">
      <c r="A42" s="124"/>
      <c r="B42" s="124"/>
      <c r="C42" s="135" t="s">
        <v>225</v>
      </c>
      <c r="D42" s="125" t="s">
        <v>226</v>
      </c>
      <c r="E42" s="133"/>
      <c r="F42" s="125" t="s">
        <v>63</v>
      </c>
      <c r="G42" s="125" t="s">
        <v>72</v>
      </c>
      <c r="H42" s="125" t="s">
        <v>30</v>
      </c>
      <c r="I42" s="125" t="s">
        <v>123</v>
      </c>
      <c r="J42" s="129"/>
      <c r="K42" s="129"/>
      <c r="L42" s="129"/>
      <c r="M42" s="129"/>
      <c r="N42" s="129">
        <v>1</v>
      </c>
      <c r="O42" s="129"/>
      <c r="P42" s="129"/>
      <c r="Q42" s="129"/>
      <c r="R42" s="129"/>
      <c r="S42" s="129"/>
      <c r="T42" s="129"/>
      <c r="U42" s="129"/>
      <c r="V42" s="129"/>
      <c r="W42" s="129"/>
      <c r="X42" s="129"/>
      <c r="Y42" s="129"/>
      <c r="Z42" s="129"/>
      <c r="AA42" s="129"/>
      <c r="AB42" s="129"/>
      <c r="AC42" s="129"/>
      <c r="AD42" s="129"/>
      <c r="AE42" s="146">
        <f t="shared" si="0"/>
        <v>1</v>
      </c>
      <c r="AF42" s="146" t="s">
        <v>180</v>
      </c>
      <c r="AG42" s="162">
        <v>5000</v>
      </c>
      <c r="AH42" s="162">
        <f t="shared" si="4"/>
        <v>5000</v>
      </c>
      <c r="AI42" s="162"/>
      <c r="AJ42" s="151"/>
      <c r="AK42" s="151"/>
      <c r="AL42" s="151"/>
      <c r="AM42" s="151"/>
      <c r="AN42" s="163">
        <f t="shared" si="1"/>
        <v>5000</v>
      </c>
      <c r="AO42" s="146"/>
      <c r="AP42" s="124"/>
      <c r="AQ42" s="125" t="s">
        <v>166</v>
      </c>
      <c r="AR42" s="125"/>
      <c r="AS42" s="124"/>
    </row>
    <row r="43" spans="1:45" ht="27.75" customHeight="1" x14ac:dyDescent="0.3">
      <c r="A43" s="124"/>
      <c r="B43" s="124"/>
      <c r="C43" s="135" t="s">
        <v>599</v>
      </c>
      <c r="D43" s="125"/>
      <c r="E43" s="133"/>
      <c r="F43" s="125"/>
      <c r="G43" s="125"/>
      <c r="H43" s="125"/>
      <c r="I43" s="125"/>
      <c r="J43" s="129"/>
      <c r="K43" s="129"/>
      <c r="L43" s="129"/>
      <c r="M43" s="129"/>
      <c r="N43" s="129"/>
      <c r="O43" s="129"/>
      <c r="P43" s="129"/>
      <c r="Q43" s="129"/>
      <c r="R43" s="129"/>
      <c r="S43" s="129"/>
      <c r="T43" s="129"/>
      <c r="U43" s="129">
        <v>1</v>
      </c>
      <c r="V43" s="129"/>
      <c r="W43" s="129"/>
      <c r="X43" s="129"/>
      <c r="Y43" s="129"/>
      <c r="Z43" s="129"/>
      <c r="AA43" s="129"/>
      <c r="AB43" s="129"/>
      <c r="AC43" s="129"/>
      <c r="AD43" s="129"/>
      <c r="AE43" s="146">
        <f>SUM(J43:AD43)</f>
        <v>1</v>
      </c>
      <c r="AF43" s="146" t="s">
        <v>180</v>
      </c>
      <c r="AG43" s="162">
        <v>4000</v>
      </c>
      <c r="AH43" s="162">
        <f>AE43*AG43</f>
        <v>4000</v>
      </c>
      <c r="AI43" s="162"/>
      <c r="AJ43" s="151"/>
      <c r="AK43" s="151"/>
      <c r="AL43" s="151"/>
      <c r="AM43" s="151"/>
      <c r="AN43" s="163">
        <f>AH43-AI43-AJ43-AK43-AM43</f>
        <v>4000</v>
      </c>
      <c r="AO43" s="146"/>
      <c r="AP43" s="124"/>
      <c r="AQ43" s="125"/>
      <c r="AR43" s="125"/>
      <c r="AS43" s="124"/>
    </row>
    <row r="44" spans="1:45" ht="27.75" customHeight="1" x14ac:dyDescent="0.3">
      <c r="A44" s="124"/>
      <c r="B44" s="124"/>
      <c r="C44" s="135" t="s">
        <v>600</v>
      </c>
      <c r="D44" s="125"/>
      <c r="E44" s="133"/>
      <c r="F44" s="125"/>
      <c r="G44" s="125"/>
      <c r="H44" s="125"/>
      <c r="I44" s="125"/>
      <c r="J44" s="129"/>
      <c r="K44" s="129"/>
      <c r="L44" s="129"/>
      <c r="M44" s="129"/>
      <c r="N44" s="129"/>
      <c r="O44" s="129"/>
      <c r="P44" s="129"/>
      <c r="Q44" s="129"/>
      <c r="R44" s="129"/>
      <c r="S44" s="129"/>
      <c r="T44" s="129"/>
      <c r="U44" s="129">
        <v>1</v>
      </c>
      <c r="V44" s="129"/>
      <c r="W44" s="129"/>
      <c r="X44" s="129"/>
      <c r="Y44" s="129"/>
      <c r="Z44" s="129"/>
      <c r="AA44" s="129"/>
      <c r="AB44" s="129"/>
      <c r="AC44" s="129"/>
      <c r="AD44" s="129"/>
      <c r="AE44" s="146">
        <f>SUM(J44:AD44)</f>
        <v>1</v>
      </c>
      <c r="AF44" s="146" t="s">
        <v>180</v>
      </c>
      <c r="AG44" s="162">
        <v>4000</v>
      </c>
      <c r="AH44" s="162">
        <f>AE44*AG44</f>
        <v>4000</v>
      </c>
      <c r="AI44" s="162"/>
      <c r="AJ44" s="151"/>
      <c r="AK44" s="151"/>
      <c r="AL44" s="151"/>
      <c r="AM44" s="151"/>
      <c r="AN44" s="163">
        <f>AH44-AI44-AJ44-AK44-AM44</f>
        <v>4000</v>
      </c>
      <c r="AO44" s="146"/>
      <c r="AP44" s="124"/>
      <c r="AQ44" s="125"/>
      <c r="AR44" s="125"/>
      <c r="AS44" s="124"/>
    </row>
    <row r="45" spans="1:45" ht="27.75" customHeight="1" x14ac:dyDescent="0.3">
      <c r="A45" s="124"/>
      <c r="B45" s="124"/>
      <c r="C45" s="135" t="s">
        <v>601</v>
      </c>
      <c r="D45" s="125"/>
      <c r="E45" s="133"/>
      <c r="F45" s="125"/>
      <c r="G45" s="125"/>
      <c r="H45" s="125"/>
      <c r="I45" s="125"/>
      <c r="J45" s="129"/>
      <c r="K45" s="129"/>
      <c r="L45" s="129"/>
      <c r="M45" s="129"/>
      <c r="N45" s="129"/>
      <c r="O45" s="129"/>
      <c r="P45" s="129"/>
      <c r="Q45" s="129"/>
      <c r="R45" s="129"/>
      <c r="S45" s="129">
        <v>1</v>
      </c>
      <c r="T45" s="129"/>
      <c r="U45" s="129"/>
      <c r="V45" s="129"/>
      <c r="W45" s="129"/>
      <c r="X45" s="129"/>
      <c r="Y45" s="129"/>
      <c r="Z45" s="129"/>
      <c r="AA45" s="129"/>
      <c r="AB45" s="129"/>
      <c r="AC45" s="129"/>
      <c r="AD45" s="129"/>
      <c r="AE45" s="146">
        <f>SUM(J45:AD45)</f>
        <v>1</v>
      </c>
      <c r="AF45" s="146" t="s">
        <v>180</v>
      </c>
      <c r="AG45" s="162">
        <v>300000</v>
      </c>
      <c r="AH45" s="162">
        <f>AE45*AG45</f>
        <v>300000</v>
      </c>
      <c r="AI45" s="162"/>
      <c r="AJ45" s="151"/>
      <c r="AK45" s="151"/>
      <c r="AL45" s="151"/>
      <c r="AM45" s="151"/>
      <c r="AN45" s="163">
        <f>AH45-AI45-AJ45-AK45-AM45</f>
        <v>300000</v>
      </c>
      <c r="AO45" s="146"/>
      <c r="AP45" s="124"/>
      <c r="AQ45" s="125"/>
      <c r="AR45" s="125"/>
      <c r="AS45" s="124"/>
    </row>
    <row r="46" spans="1:45" ht="42" customHeight="1" x14ac:dyDescent="0.3">
      <c r="A46" s="124"/>
      <c r="B46" s="124"/>
      <c r="C46" s="161" t="s">
        <v>607</v>
      </c>
      <c r="D46" s="125"/>
      <c r="E46" s="133"/>
      <c r="F46" s="125"/>
      <c r="G46" s="125"/>
      <c r="H46" s="125"/>
      <c r="I46" s="125"/>
      <c r="J46" s="129"/>
      <c r="K46" s="129"/>
      <c r="L46" s="129"/>
      <c r="M46" s="129"/>
      <c r="N46" s="129"/>
      <c r="O46" s="129"/>
      <c r="P46" s="129"/>
      <c r="Q46" s="129">
        <v>1</v>
      </c>
      <c r="R46" s="129"/>
      <c r="S46" s="129"/>
      <c r="T46" s="129">
        <v>1</v>
      </c>
      <c r="U46" s="129">
        <v>1</v>
      </c>
      <c r="V46" s="129">
        <v>1</v>
      </c>
      <c r="W46" s="129"/>
      <c r="X46" s="129"/>
      <c r="Y46" s="129"/>
      <c r="Z46" s="129"/>
      <c r="AA46" s="129"/>
      <c r="AB46" s="129"/>
      <c r="AC46" s="129"/>
      <c r="AD46" s="129"/>
      <c r="AE46" s="146">
        <f>SUM(J46:AD46)</f>
        <v>4</v>
      </c>
      <c r="AF46" s="146" t="s">
        <v>180</v>
      </c>
      <c r="AG46" s="162">
        <v>3000</v>
      </c>
      <c r="AH46" s="162">
        <f>AE46*AG46</f>
        <v>12000</v>
      </c>
      <c r="AI46" s="162">
        <v>1044</v>
      </c>
      <c r="AJ46" s="151"/>
      <c r="AK46" s="151"/>
      <c r="AL46" s="151"/>
      <c r="AM46" s="151"/>
      <c r="AN46" s="163">
        <f>AH46-AI46-AJ46-AK46-AM46</f>
        <v>10956</v>
      </c>
      <c r="AO46" s="146"/>
      <c r="AP46" s="124"/>
      <c r="AQ46" s="125"/>
      <c r="AR46" s="125"/>
      <c r="AS46" s="124"/>
    </row>
    <row r="47" spans="1:45" s="3" customFormat="1" ht="19.149999999999999" customHeight="1" x14ac:dyDescent="0.3">
      <c r="A47" s="121">
        <v>7</v>
      </c>
      <c r="B47" s="122" t="s">
        <v>24</v>
      </c>
      <c r="C47" s="122"/>
      <c r="D47" s="122"/>
      <c r="E47" s="122"/>
      <c r="F47" s="122"/>
      <c r="G47" s="122"/>
      <c r="H47" s="122"/>
      <c r="I47" s="122"/>
      <c r="J47" s="122"/>
      <c r="K47" s="122"/>
      <c r="L47" s="122"/>
      <c r="M47" s="122"/>
      <c r="N47" s="122"/>
      <c r="O47" s="122"/>
      <c r="P47" s="122"/>
      <c r="Q47" s="122"/>
      <c r="R47" s="122"/>
      <c r="S47" s="122"/>
      <c r="T47" s="122"/>
      <c r="U47" s="122"/>
      <c r="V47" s="122"/>
      <c r="W47" s="122"/>
      <c r="X47" s="122"/>
      <c r="Y47" s="122"/>
      <c r="Z47" s="122"/>
      <c r="AA47" s="122"/>
      <c r="AB47" s="122"/>
      <c r="AC47" s="122"/>
      <c r="AD47" s="122"/>
      <c r="AE47" s="158"/>
      <c r="AF47" s="149"/>
      <c r="AG47" s="237"/>
      <c r="AH47" s="237"/>
      <c r="AI47" s="237"/>
      <c r="AJ47" s="150"/>
      <c r="AK47" s="150"/>
      <c r="AL47" s="150"/>
      <c r="AM47" s="150"/>
      <c r="AN47" s="160">
        <f t="shared" si="1"/>
        <v>0</v>
      </c>
      <c r="AO47" s="149"/>
      <c r="AP47" s="122"/>
      <c r="AQ47" s="122"/>
      <c r="AR47" s="122"/>
      <c r="AS47" s="122"/>
    </row>
    <row r="48" spans="1:45" s="7" customFormat="1" ht="19.149999999999999" customHeight="1" x14ac:dyDescent="0.3">
      <c r="A48" s="132"/>
      <c r="B48" s="132"/>
      <c r="C48" s="132" t="s">
        <v>34</v>
      </c>
      <c r="D48" s="132" t="s">
        <v>115</v>
      </c>
      <c r="E48" s="312" t="s">
        <v>175</v>
      </c>
      <c r="F48" s="129" t="s">
        <v>62</v>
      </c>
      <c r="G48" s="129" t="s">
        <v>71</v>
      </c>
      <c r="H48" s="129" t="s">
        <v>29</v>
      </c>
      <c r="I48" s="132" t="s">
        <v>124</v>
      </c>
      <c r="J48" s="132"/>
      <c r="K48" s="132"/>
      <c r="L48" s="132"/>
      <c r="M48" s="132"/>
      <c r="N48" s="132"/>
      <c r="O48" s="132"/>
      <c r="P48" s="132"/>
      <c r="Q48" s="132"/>
      <c r="R48" s="132"/>
      <c r="S48" s="132"/>
      <c r="T48" s="132"/>
      <c r="U48" s="132"/>
      <c r="V48" s="132"/>
      <c r="W48" s="132"/>
      <c r="X48" s="132"/>
      <c r="Y48" s="132"/>
      <c r="Z48" s="132"/>
      <c r="AA48" s="132"/>
      <c r="AB48" s="132"/>
      <c r="AC48" s="132"/>
      <c r="AD48" s="132"/>
      <c r="AE48" s="155">
        <f t="shared" si="0"/>
        <v>0</v>
      </c>
      <c r="AF48" s="155"/>
      <c r="AG48" s="162"/>
      <c r="AH48" s="162">
        <f>AE48*AG48</f>
        <v>0</v>
      </c>
      <c r="AI48" s="162"/>
      <c r="AJ48" s="162"/>
      <c r="AK48" s="162"/>
      <c r="AL48" s="162"/>
      <c r="AM48" s="162"/>
      <c r="AN48" s="163">
        <f t="shared" si="1"/>
        <v>0</v>
      </c>
      <c r="AO48" s="155"/>
      <c r="AP48" s="132"/>
      <c r="AQ48" s="129" t="s">
        <v>149</v>
      </c>
      <c r="AR48" s="129" t="s">
        <v>168</v>
      </c>
      <c r="AS48" s="132"/>
    </row>
    <row r="49" spans="1:45" ht="19.149999999999999" customHeight="1" x14ac:dyDescent="0.3">
      <c r="A49" s="124"/>
      <c r="B49" s="124"/>
      <c r="C49" s="124" t="s">
        <v>33</v>
      </c>
      <c r="D49" s="124" t="s">
        <v>115</v>
      </c>
      <c r="E49" s="314"/>
      <c r="F49" s="125" t="s">
        <v>62</v>
      </c>
      <c r="G49" s="125" t="s">
        <v>71</v>
      </c>
      <c r="H49" s="125" t="s">
        <v>29</v>
      </c>
      <c r="I49" s="124" t="s">
        <v>124</v>
      </c>
      <c r="J49" s="132"/>
      <c r="K49" s="132"/>
      <c r="L49" s="132"/>
      <c r="M49" s="132">
        <v>1</v>
      </c>
      <c r="N49" s="132"/>
      <c r="O49" s="132"/>
      <c r="P49" s="132"/>
      <c r="Q49" s="132"/>
      <c r="R49" s="132"/>
      <c r="S49" s="132"/>
      <c r="T49" s="132"/>
      <c r="U49" s="132"/>
      <c r="V49" s="132"/>
      <c r="W49" s="132"/>
      <c r="X49" s="132"/>
      <c r="Y49" s="132"/>
      <c r="Z49" s="132"/>
      <c r="AA49" s="132"/>
      <c r="AB49" s="132"/>
      <c r="AC49" s="132"/>
      <c r="AD49" s="132"/>
      <c r="AE49" s="146">
        <f t="shared" si="0"/>
        <v>1</v>
      </c>
      <c r="AF49" s="146" t="s">
        <v>180</v>
      </c>
      <c r="AG49" s="162">
        <v>3000</v>
      </c>
      <c r="AH49" s="162">
        <f>AE49*AG49</f>
        <v>3000</v>
      </c>
      <c r="AI49" s="162"/>
      <c r="AJ49" s="162">
        <v>3000</v>
      </c>
      <c r="AK49" s="147"/>
      <c r="AL49" s="147"/>
      <c r="AM49" s="147"/>
      <c r="AN49" s="148">
        <f t="shared" si="1"/>
        <v>0</v>
      </c>
      <c r="AO49" s="146"/>
      <c r="AP49" s="124"/>
      <c r="AQ49" s="125" t="s">
        <v>149</v>
      </c>
      <c r="AR49" s="125" t="s">
        <v>168</v>
      </c>
      <c r="AS49" s="124"/>
    </row>
    <row r="50" spans="1:45" s="3" customFormat="1" ht="19.149999999999999" customHeight="1" x14ac:dyDescent="0.3">
      <c r="A50" s="121">
        <v>8</v>
      </c>
      <c r="B50" s="122" t="s">
        <v>25</v>
      </c>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58">
        <f t="shared" si="0"/>
        <v>0</v>
      </c>
      <c r="AF50" s="149"/>
      <c r="AG50" s="237"/>
      <c r="AH50" s="237"/>
      <c r="AI50" s="237"/>
      <c r="AJ50" s="150"/>
      <c r="AK50" s="150"/>
      <c r="AL50" s="150"/>
      <c r="AM50" s="150"/>
      <c r="AN50" s="160">
        <f t="shared" si="1"/>
        <v>0</v>
      </c>
      <c r="AO50" s="149"/>
      <c r="AP50" s="122"/>
      <c r="AQ50" s="122"/>
      <c r="AR50" s="122"/>
      <c r="AS50" s="122"/>
    </row>
    <row r="51" spans="1:45" ht="19.149999999999999" customHeight="1" x14ac:dyDescent="0.3">
      <c r="A51" s="124"/>
      <c r="B51" s="124"/>
      <c r="C51" s="124" t="s">
        <v>189</v>
      </c>
      <c r="D51" s="124" t="s">
        <v>47</v>
      </c>
      <c r="E51" s="313"/>
      <c r="F51" s="125" t="s">
        <v>70</v>
      </c>
      <c r="G51" s="125" t="s">
        <v>64</v>
      </c>
      <c r="H51" s="125" t="s">
        <v>28</v>
      </c>
      <c r="I51" s="125" t="s">
        <v>125</v>
      </c>
      <c r="J51" s="129"/>
      <c r="K51" s="129"/>
      <c r="L51" s="129"/>
      <c r="M51" s="129"/>
      <c r="N51" s="129"/>
      <c r="O51" s="129"/>
      <c r="P51" s="129">
        <v>1</v>
      </c>
      <c r="Q51" s="129"/>
      <c r="R51" s="129"/>
      <c r="S51" s="129"/>
      <c r="T51" s="129"/>
      <c r="U51" s="129"/>
      <c r="V51" s="129"/>
      <c r="W51" s="129"/>
      <c r="X51" s="129"/>
      <c r="Y51" s="129"/>
      <c r="Z51" s="129"/>
      <c r="AA51" s="129"/>
      <c r="AB51" s="129"/>
      <c r="AC51" s="129"/>
      <c r="AD51" s="129"/>
      <c r="AE51" s="146">
        <f t="shared" si="0"/>
        <v>1</v>
      </c>
      <c r="AF51" s="146" t="s">
        <v>180</v>
      </c>
      <c r="AG51" s="162">
        <v>3000</v>
      </c>
      <c r="AH51" s="162">
        <f>AE51*AG51</f>
        <v>3000</v>
      </c>
      <c r="AI51" s="162"/>
      <c r="AJ51" s="147"/>
      <c r="AK51" s="147"/>
      <c r="AL51" s="147">
        <v>3000</v>
      </c>
      <c r="AM51" s="147"/>
      <c r="AN51" s="148">
        <f t="shared" si="1"/>
        <v>3000</v>
      </c>
      <c r="AO51" s="154" t="s">
        <v>229</v>
      </c>
      <c r="AP51" s="124"/>
      <c r="AQ51" s="125" t="s">
        <v>150</v>
      </c>
      <c r="AR51" s="125" t="s">
        <v>169</v>
      </c>
      <c r="AS51" s="124"/>
    </row>
    <row r="52" spans="1:45" ht="19.149999999999999" customHeight="1" x14ac:dyDescent="0.3">
      <c r="A52" s="124"/>
      <c r="B52" s="124"/>
      <c r="C52" s="124" t="s">
        <v>190</v>
      </c>
      <c r="D52" s="124" t="s">
        <v>47</v>
      </c>
      <c r="E52" s="313"/>
      <c r="F52" s="125" t="s">
        <v>70</v>
      </c>
      <c r="G52" s="125" t="s">
        <v>64</v>
      </c>
      <c r="H52" s="125" t="s">
        <v>28</v>
      </c>
      <c r="I52" s="125" t="s">
        <v>125</v>
      </c>
      <c r="J52" s="129"/>
      <c r="K52" s="129"/>
      <c r="L52" s="129"/>
      <c r="M52" s="129"/>
      <c r="N52" s="129"/>
      <c r="O52" s="129"/>
      <c r="P52" s="129">
        <v>1</v>
      </c>
      <c r="Q52" s="129"/>
      <c r="R52" s="129"/>
      <c r="S52" s="129"/>
      <c r="T52" s="129"/>
      <c r="U52" s="129"/>
      <c r="V52" s="129"/>
      <c r="W52" s="129"/>
      <c r="X52" s="129"/>
      <c r="Y52" s="129"/>
      <c r="Z52" s="129"/>
      <c r="AA52" s="129"/>
      <c r="AB52" s="129"/>
      <c r="AC52" s="129"/>
      <c r="AD52" s="129"/>
      <c r="AE52" s="146">
        <f t="shared" si="0"/>
        <v>1</v>
      </c>
      <c r="AF52" s="146" t="s">
        <v>180</v>
      </c>
      <c r="AG52" s="162">
        <v>3000</v>
      </c>
      <c r="AH52" s="162">
        <f>AE52*AG52</f>
        <v>3000</v>
      </c>
      <c r="AI52" s="162"/>
      <c r="AJ52" s="147"/>
      <c r="AK52" s="147"/>
      <c r="AL52" s="147">
        <v>3000</v>
      </c>
      <c r="AM52" s="147"/>
      <c r="AN52" s="148">
        <f t="shared" si="1"/>
        <v>3000</v>
      </c>
      <c r="AO52" s="154" t="s">
        <v>229</v>
      </c>
      <c r="AP52" s="124"/>
      <c r="AQ52" s="125" t="s">
        <v>150</v>
      </c>
      <c r="AR52" s="125" t="s">
        <v>169</v>
      </c>
      <c r="AS52" s="124"/>
    </row>
    <row r="53" spans="1:45" ht="19.149999999999999" customHeight="1" x14ac:dyDescent="0.3">
      <c r="A53" s="124"/>
      <c r="B53" s="124"/>
      <c r="C53" s="124" t="s">
        <v>191</v>
      </c>
      <c r="D53" s="124" t="s">
        <v>47</v>
      </c>
      <c r="E53" s="314"/>
      <c r="F53" s="125" t="s">
        <v>70</v>
      </c>
      <c r="G53" s="125" t="s">
        <v>64</v>
      </c>
      <c r="H53" s="125" t="s">
        <v>28</v>
      </c>
      <c r="I53" s="125" t="s">
        <v>125</v>
      </c>
      <c r="J53" s="129"/>
      <c r="K53" s="129"/>
      <c r="L53" s="129"/>
      <c r="M53" s="129"/>
      <c r="N53" s="129"/>
      <c r="O53" s="129"/>
      <c r="P53" s="129"/>
      <c r="Q53" s="129"/>
      <c r="R53" s="129"/>
      <c r="S53" s="129">
        <v>1</v>
      </c>
      <c r="T53" s="129"/>
      <c r="U53" s="129"/>
      <c r="V53" s="129"/>
      <c r="W53" s="129"/>
      <c r="X53" s="129"/>
      <c r="Y53" s="129"/>
      <c r="Z53" s="129"/>
      <c r="AA53" s="129"/>
      <c r="AB53" s="129"/>
      <c r="AC53" s="129"/>
      <c r="AD53" s="129"/>
      <c r="AE53" s="146">
        <f t="shared" si="0"/>
        <v>1</v>
      </c>
      <c r="AF53" s="146" t="s">
        <v>180</v>
      </c>
      <c r="AG53" s="162">
        <v>3000</v>
      </c>
      <c r="AH53" s="162">
        <f>AE53*AG53</f>
        <v>3000</v>
      </c>
      <c r="AI53" s="162"/>
      <c r="AJ53" s="162">
        <v>3000</v>
      </c>
      <c r="AK53" s="147"/>
      <c r="AL53" s="147"/>
      <c r="AM53" s="147"/>
      <c r="AN53" s="148">
        <f t="shared" si="1"/>
        <v>0</v>
      </c>
      <c r="AO53" s="146"/>
      <c r="AP53" s="124"/>
      <c r="AQ53" s="125" t="s">
        <v>150</v>
      </c>
      <c r="AR53" s="125" t="s">
        <v>169</v>
      </c>
      <c r="AS53" s="124"/>
    </row>
    <row r="54" spans="1:45" customFormat="1" ht="21.75" customHeight="1" x14ac:dyDescent="0.65">
      <c r="C54" s="164" t="s">
        <v>603</v>
      </c>
      <c r="J54" s="165"/>
      <c r="K54" s="165"/>
      <c r="L54" s="165"/>
      <c r="M54" s="165"/>
      <c r="N54" s="165"/>
      <c r="O54" s="165"/>
      <c r="P54" s="165"/>
      <c r="Q54" s="165">
        <v>1</v>
      </c>
      <c r="R54" s="165">
        <v>1</v>
      </c>
      <c r="S54" s="165"/>
      <c r="T54" s="165">
        <v>1</v>
      </c>
      <c r="U54" s="165">
        <v>1</v>
      </c>
      <c r="V54" s="165">
        <v>1</v>
      </c>
      <c r="W54" s="165">
        <v>1</v>
      </c>
      <c r="X54" s="165"/>
      <c r="Y54" s="165"/>
      <c r="Z54" s="165">
        <v>1</v>
      </c>
      <c r="AA54" s="165">
        <v>1</v>
      </c>
      <c r="AB54" s="165"/>
      <c r="AC54" s="165"/>
      <c r="AD54" s="165"/>
      <c r="AE54" s="146">
        <f t="shared" si="0"/>
        <v>8</v>
      </c>
      <c r="AF54" s="146" t="s">
        <v>180</v>
      </c>
      <c r="AG54" s="162">
        <v>3500</v>
      </c>
      <c r="AH54" s="162">
        <f>AE54*AG54</f>
        <v>28000</v>
      </c>
      <c r="AI54" s="231"/>
      <c r="AJ54" s="165"/>
      <c r="AK54" s="165"/>
      <c r="AL54" s="165"/>
      <c r="AM54" s="165"/>
      <c r="AN54" s="148">
        <f t="shared" si="1"/>
        <v>28000</v>
      </c>
    </row>
    <row r="55" spans="1:45" ht="19.149999999999999" customHeight="1" x14ac:dyDescent="0.3">
      <c r="A55" s="124"/>
      <c r="B55" s="124"/>
      <c r="C55" s="135" t="s">
        <v>602</v>
      </c>
      <c r="D55" s="124" t="s">
        <v>227</v>
      </c>
      <c r="E55" s="133"/>
      <c r="F55" s="125" t="s">
        <v>70</v>
      </c>
      <c r="G55" s="125" t="s">
        <v>64</v>
      </c>
      <c r="H55" s="125" t="s">
        <v>28</v>
      </c>
      <c r="I55" s="125" t="s">
        <v>125</v>
      </c>
      <c r="J55" s="129"/>
      <c r="K55" s="129"/>
      <c r="L55" s="129"/>
      <c r="M55" s="129">
        <v>1</v>
      </c>
      <c r="N55" s="129"/>
      <c r="O55" s="129">
        <v>1</v>
      </c>
      <c r="P55" s="129">
        <v>1</v>
      </c>
      <c r="Q55" s="129"/>
      <c r="R55" s="129">
        <v>1</v>
      </c>
      <c r="S55" s="129"/>
      <c r="T55" s="129">
        <v>1</v>
      </c>
      <c r="U55" s="129"/>
      <c r="V55" s="129">
        <v>1</v>
      </c>
      <c r="W55" s="129"/>
      <c r="X55" s="129">
        <v>1</v>
      </c>
      <c r="Y55" s="129"/>
      <c r="Z55" s="129"/>
      <c r="AA55" s="129"/>
      <c r="AB55" s="129"/>
      <c r="AC55" s="129"/>
      <c r="AD55" s="129"/>
      <c r="AE55" s="146">
        <f t="shared" si="0"/>
        <v>7</v>
      </c>
      <c r="AF55" s="146" t="s">
        <v>180</v>
      </c>
      <c r="AG55" s="162">
        <v>600</v>
      </c>
      <c r="AH55" s="162">
        <f>AE55*AG55</f>
        <v>4200</v>
      </c>
      <c r="AI55" s="162"/>
      <c r="AJ55" s="162">
        <v>1200</v>
      </c>
      <c r="AK55" s="147"/>
      <c r="AL55" s="147"/>
      <c r="AM55" s="147"/>
      <c r="AN55" s="148">
        <f t="shared" si="1"/>
        <v>3000</v>
      </c>
      <c r="AO55" s="146"/>
      <c r="AP55" s="124"/>
      <c r="AQ55" s="125"/>
      <c r="AR55" s="125"/>
      <c r="AS55" s="124"/>
    </row>
    <row r="56" spans="1:45" s="3" customFormat="1" ht="19.149999999999999" customHeight="1" x14ac:dyDescent="0.3">
      <c r="A56" s="121">
        <v>9</v>
      </c>
      <c r="B56" s="122" t="s">
        <v>93</v>
      </c>
      <c r="C56" s="122"/>
      <c r="D56" s="122"/>
      <c r="E56" s="122"/>
      <c r="F56" s="122"/>
      <c r="G56" s="122"/>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58">
        <f t="shared" si="0"/>
        <v>0</v>
      </c>
      <c r="AF56" s="149"/>
      <c r="AG56" s="237"/>
      <c r="AH56" s="237"/>
      <c r="AI56" s="237"/>
      <c r="AJ56" s="150"/>
      <c r="AK56" s="150"/>
      <c r="AL56" s="150"/>
      <c r="AM56" s="150"/>
      <c r="AN56" s="160">
        <f t="shared" si="1"/>
        <v>0</v>
      </c>
      <c r="AO56" s="149"/>
      <c r="AP56" s="122"/>
      <c r="AQ56" s="122"/>
      <c r="AR56" s="122"/>
      <c r="AS56" s="122"/>
    </row>
    <row r="57" spans="1:45" ht="31.5" customHeight="1" x14ac:dyDescent="0.3">
      <c r="A57" s="124"/>
      <c r="B57" s="124"/>
      <c r="C57" s="125" t="s">
        <v>94</v>
      </c>
      <c r="D57" s="124" t="s">
        <v>110</v>
      </c>
      <c r="E57" s="137" t="s">
        <v>173</v>
      </c>
      <c r="F57" s="125" t="s">
        <v>95</v>
      </c>
      <c r="G57" s="125" t="s">
        <v>96</v>
      </c>
      <c r="H57" s="125" t="s">
        <v>97</v>
      </c>
      <c r="I57" s="124" t="s">
        <v>119</v>
      </c>
      <c r="J57" s="132"/>
      <c r="K57" s="132"/>
      <c r="L57" s="132"/>
      <c r="M57" s="132"/>
      <c r="N57" s="132"/>
      <c r="O57" s="132"/>
      <c r="P57" s="132"/>
      <c r="Q57" s="132"/>
      <c r="R57" s="132"/>
      <c r="S57" s="132"/>
      <c r="T57" s="132"/>
      <c r="U57" s="132">
        <v>1</v>
      </c>
      <c r="V57" s="132"/>
      <c r="W57" s="132"/>
      <c r="X57" s="132"/>
      <c r="Y57" s="132"/>
      <c r="Z57" s="132"/>
      <c r="AA57" s="132"/>
      <c r="AB57" s="132"/>
      <c r="AC57" s="132"/>
      <c r="AD57" s="132"/>
      <c r="AE57" s="146">
        <f t="shared" si="0"/>
        <v>1</v>
      </c>
      <c r="AF57" s="146" t="s">
        <v>180</v>
      </c>
      <c r="AG57" s="162">
        <v>670000</v>
      </c>
      <c r="AH57" s="162">
        <f>AE57*AG57</f>
        <v>670000</v>
      </c>
      <c r="AI57" s="162">
        <v>670000</v>
      </c>
      <c r="AJ57" s="151"/>
      <c r="AK57" s="151"/>
      <c r="AL57" s="151"/>
      <c r="AM57" s="151"/>
      <c r="AN57" s="148">
        <f t="shared" si="1"/>
        <v>0</v>
      </c>
      <c r="AO57" s="146"/>
      <c r="AP57" s="124"/>
      <c r="AQ57" s="125" t="s">
        <v>151</v>
      </c>
      <c r="AR57" s="125" t="s">
        <v>170</v>
      </c>
      <c r="AS57" s="124"/>
    </row>
    <row r="58" spans="1:45" s="3" customFormat="1" ht="19.149999999999999" customHeight="1" x14ac:dyDescent="0.3">
      <c r="A58" s="121">
        <v>10</v>
      </c>
      <c r="B58" s="122" t="s">
        <v>98</v>
      </c>
      <c r="C58" s="122"/>
      <c r="D58" s="122"/>
      <c r="E58" s="122"/>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58"/>
      <c r="AF58" s="149"/>
      <c r="AG58" s="237"/>
      <c r="AH58" s="237"/>
      <c r="AI58" s="237"/>
      <c r="AJ58" s="150"/>
      <c r="AK58" s="150"/>
      <c r="AL58" s="150"/>
      <c r="AM58" s="150"/>
      <c r="AN58" s="160">
        <f t="shared" si="1"/>
        <v>0</v>
      </c>
      <c r="AO58" s="149"/>
      <c r="AP58" s="122"/>
      <c r="AQ58" s="122"/>
      <c r="AR58" s="122"/>
      <c r="AS58" s="122"/>
    </row>
    <row r="59" spans="1:45" ht="19.149999999999999" customHeight="1" x14ac:dyDescent="0.3">
      <c r="A59" s="124"/>
      <c r="B59" s="124"/>
      <c r="C59" s="124" t="s">
        <v>99</v>
      </c>
      <c r="D59" s="124" t="s">
        <v>106</v>
      </c>
      <c r="E59" s="312" t="s">
        <v>174</v>
      </c>
      <c r="F59" s="125" t="s">
        <v>100</v>
      </c>
      <c r="G59" s="125" t="s">
        <v>102</v>
      </c>
      <c r="H59" s="125" t="s">
        <v>104</v>
      </c>
      <c r="I59" s="124" t="s">
        <v>124</v>
      </c>
      <c r="J59" s="132"/>
      <c r="K59" s="132"/>
      <c r="L59" s="132">
        <v>2</v>
      </c>
      <c r="M59" s="132">
        <v>1</v>
      </c>
      <c r="N59" s="132">
        <v>1</v>
      </c>
      <c r="O59" s="132">
        <v>1</v>
      </c>
      <c r="P59" s="132">
        <v>1</v>
      </c>
      <c r="Q59" s="132">
        <v>1</v>
      </c>
      <c r="R59" s="132">
        <v>1</v>
      </c>
      <c r="S59" s="132">
        <v>1</v>
      </c>
      <c r="T59" s="132">
        <v>1</v>
      </c>
      <c r="U59" s="132">
        <v>1</v>
      </c>
      <c r="V59" s="132">
        <v>1</v>
      </c>
      <c r="W59" s="132">
        <v>1</v>
      </c>
      <c r="X59" s="132">
        <v>1</v>
      </c>
      <c r="Y59" s="132">
        <v>1</v>
      </c>
      <c r="Z59" s="132">
        <v>1</v>
      </c>
      <c r="AA59" s="132">
        <v>1</v>
      </c>
      <c r="AB59" s="132">
        <v>1</v>
      </c>
      <c r="AC59" s="132">
        <v>1</v>
      </c>
      <c r="AD59" s="132">
        <v>1</v>
      </c>
      <c r="AE59" s="146">
        <f t="shared" si="0"/>
        <v>20</v>
      </c>
      <c r="AF59" s="146" t="s">
        <v>188</v>
      </c>
      <c r="AG59" s="162">
        <v>4000</v>
      </c>
      <c r="AH59" s="162">
        <f>AE59*AG59</f>
        <v>80000</v>
      </c>
      <c r="AI59" s="162">
        <v>3000</v>
      </c>
      <c r="AJ59" s="162">
        <v>8000</v>
      </c>
      <c r="AK59" s="151"/>
      <c r="AL59" s="151"/>
      <c r="AM59" s="151"/>
      <c r="AN59" s="148">
        <f t="shared" si="1"/>
        <v>69000</v>
      </c>
      <c r="AO59" s="146"/>
      <c r="AP59" s="124"/>
      <c r="AQ59" s="125" t="s">
        <v>152</v>
      </c>
      <c r="AR59" s="125" t="s">
        <v>171</v>
      </c>
      <c r="AS59" s="124" t="s">
        <v>155</v>
      </c>
    </row>
    <row r="60" spans="1:45" ht="19.149999999999999" customHeight="1" x14ac:dyDescent="0.3">
      <c r="A60" s="124"/>
      <c r="B60" s="124"/>
      <c r="C60" s="124" t="s">
        <v>101</v>
      </c>
      <c r="D60" s="124" t="s">
        <v>106</v>
      </c>
      <c r="E60" s="314"/>
      <c r="F60" s="125" t="s">
        <v>100</v>
      </c>
      <c r="G60" s="125" t="s">
        <v>103</v>
      </c>
      <c r="H60" s="125" t="s">
        <v>104</v>
      </c>
      <c r="I60" s="124" t="s">
        <v>124</v>
      </c>
      <c r="J60" s="132"/>
      <c r="K60" s="132">
        <v>3</v>
      </c>
      <c r="L60" s="132">
        <v>4</v>
      </c>
      <c r="M60" s="132">
        <v>4</v>
      </c>
      <c r="N60" s="132">
        <v>4</v>
      </c>
      <c r="O60" s="132">
        <v>4</v>
      </c>
      <c r="P60" s="132">
        <v>4</v>
      </c>
      <c r="Q60" s="132">
        <v>4</v>
      </c>
      <c r="R60" s="132">
        <v>4</v>
      </c>
      <c r="S60" s="132">
        <v>4</v>
      </c>
      <c r="T60" s="132">
        <v>4</v>
      </c>
      <c r="U60" s="132">
        <v>4</v>
      </c>
      <c r="V60" s="132">
        <v>4</v>
      </c>
      <c r="W60" s="132">
        <v>4</v>
      </c>
      <c r="X60" s="132">
        <v>4</v>
      </c>
      <c r="Y60" s="132">
        <v>4</v>
      </c>
      <c r="Z60" s="132">
        <v>4</v>
      </c>
      <c r="AA60" s="132">
        <v>4</v>
      </c>
      <c r="AB60" s="132">
        <v>4</v>
      </c>
      <c r="AC60" s="132">
        <v>4</v>
      </c>
      <c r="AD60" s="132">
        <v>4</v>
      </c>
      <c r="AE60" s="146">
        <f t="shared" si="0"/>
        <v>79</v>
      </c>
      <c r="AF60" s="146" t="s">
        <v>188</v>
      </c>
      <c r="AG60" s="162">
        <v>350</v>
      </c>
      <c r="AH60" s="162">
        <f>AE60*AG60</f>
        <v>27650</v>
      </c>
      <c r="AI60" s="162">
        <v>3385</v>
      </c>
      <c r="AJ60" s="162">
        <v>3500</v>
      </c>
      <c r="AK60" s="151"/>
      <c r="AL60" s="151"/>
      <c r="AM60" s="151"/>
      <c r="AN60" s="148">
        <f t="shared" si="1"/>
        <v>20765</v>
      </c>
      <c r="AO60" s="146"/>
      <c r="AP60" s="124"/>
      <c r="AQ60" s="125" t="s">
        <v>152</v>
      </c>
      <c r="AR60" s="125" t="s">
        <v>171</v>
      </c>
      <c r="AS60" s="124" t="s">
        <v>155</v>
      </c>
    </row>
    <row r="61" spans="1:45" ht="19.149999999999999" customHeight="1" x14ac:dyDescent="0.3">
      <c r="A61" s="121">
        <v>11</v>
      </c>
      <c r="B61" s="122" t="s">
        <v>194</v>
      </c>
      <c r="C61" s="122"/>
      <c r="D61" s="122"/>
      <c r="E61" s="122"/>
      <c r="F61" s="122"/>
      <c r="G61" s="122"/>
      <c r="H61" s="122"/>
      <c r="I61" s="122"/>
      <c r="J61" s="122"/>
      <c r="K61" s="122"/>
      <c r="L61" s="122"/>
      <c r="M61" s="122"/>
      <c r="N61" s="122"/>
      <c r="O61" s="122"/>
      <c r="P61" s="122"/>
      <c r="Q61" s="122"/>
      <c r="R61" s="122"/>
      <c r="S61" s="122"/>
      <c r="T61" s="122"/>
      <c r="U61" s="122"/>
      <c r="V61" s="122"/>
      <c r="W61" s="122"/>
      <c r="X61" s="122"/>
      <c r="Y61" s="122"/>
      <c r="Z61" s="122"/>
      <c r="AA61" s="122"/>
      <c r="AB61" s="122"/>
      <c r="AC61" s="122"/>
      <c r="AD61" s="122"/>
      <c r="AE61" s="158"/>
      <c r="AF61" s="149"/>
      <c r="AG61" s="237"/>
      <c r="AH61" s="237"/>
      <c r="AI61" s="238"/>
      <c r="AJ61" s="149"/>
      <c r="AK61" s="149"/>
      <c r="AL61" s="149"/>
      <c r="AM61" s="149"/>
      <c r="AN61" s="160">
        <f t="shared" si="1"/>
        <v>0</v>
      </c>
      <c r="AO61" s="149"/>
      <c r="AP61" s="122"/>
      <c r="AQ61" s="122"/>
      <c r="AR61" s="122"/>
      <c r="AS61" s="122"/>
    </row>
    <row r="62" spans="1:45" ht="19.149999999999999" customHeight="1" x14ac:dyDescent="0.3">
      <c r="A62" s="124"/>
      <c r="B62" s="124"/>
      <c r="C62" s="239" t="s">
        <v>217</v>
      </c>
      <c r="D62" s="240" t="s">
        <v>201</v>
      </c>
      <c r="E62" s="240"/>
      <c r="F62" s="240"/>
      <c r="G62" s="240"/>
      <c r="H62" s="240"/>
      <c r="I62" s="240"/>
      <c r="J62" s="240"/>
      <c r="K62" s="240"/>
      <c r="L62" s="240"/>
      <c r="M62" s="240"/>
      <c r="N62" s="240"/>
      <c r="O62" s="240"/>
      <c r="P62" s="240"/>
      <c r="Q62" s="240"/>
      <c r="R62" s="240"/>
      <c r="S62" s="240"/>
      <c r="T62" s="240"/>
      <c r="U62" s="240"/>
      <c r="V62" s="241"/>
      <c r="W62" s="241"/>
      <c r="X62" s="241"/>
      <c r="Y62" s="241">
        <v>1</v>
      </c>
      <c r="Z62" s="241">
        <v>1</v>
      </c>
      <c r="AA62" s="241">
        <v>1</v>
      </c>
      <c r="AB62" s="241">
        <v>1</v>
      </c>
      <c r="AC62" s="241">
        <v>1</v>
      </c>
      <c r="AD62" s="241">
        <v>1</v>
      </c>
      <c r="AE62" s="242">
        <f t="shared" si="0"/>
        <v>6</v>
      </c>
      <c r="AF62" s="242" t="s">
        <v>202</v>
      </c>
      <c r="AG62" s="177">
        <v>1000</v>
      </c>
      <c r="AH62" s="177">
        <f t="shared" ref="AH62:AH67" si="5">AE62*AG62</f>
        <v>6000</v>
      </c>
      <c r="AI62" s="177">
        <f>94494</f>
        <v>94494</v>
      </c>
      <c r="AJ62" s="177"/>
      <c r="AK62" s="177"/>
      <c r="AL62" s="177"/>
      <c r="AM62" s="177"/>
      <c r="AN62" s="243">
        <f>AH62</f>
        <v>6000</v>
      </c>
      <c r="AO62" s="146"/>
      <c r="AP62" s="136"/>
      <c r="AQ62" s="124"/>
      <c r="AR62" s="124"/>
      <c r="AS62" s="124"/>
    </row>
    <row r="63" spans="1:45" ht="19.149999999999999" customHeight="1" x14ac:dyDescent="0.3">
      <c r="A63" s="124"/>
      <c r="B63" s="124"/>
      <c r="C63" s="241" t="s">
        <v>195</v>
      </c>
      <c r="D63" s="240" t="s">
        <v>199</v>
      </c>
      <c r="E63" s="240"/>
      <c r="F63" s="240"/>
      <c r="G63" s="240"/>
      <c r="H63" s="240"/>
      <c r="I63" s="240"/>
      <c r="J63" s="240"/>
      <c r="K63" s="240"/>
      <c r="L63" s="240"/>
      <c r="M63" s="240"/>
      <c r="N63" s="240"/>
      <c r="O63" s="240"/>
      <c r="P63" s="240"/>
      <c r="Q63" s="240"/>
      <c r="R63" s="240"/>
      <c r="S63" s="240">
        <v>1</v>
      </c>
      <c r="T63" s="240">
        <v>1</v>
      </c>
      <c r="U63" s="240">
        <v>1</v>
      </c>
      <c r="V63" s="241">
        <v>1</v>
      </c>
      <c r="W63" s="241">
        <v>1</v>
      </c>
      <c r="X63" s="241">
        <v>1</v>
      </c>
      <c r="Y63" s="241">
        <v>1</v>
      </c>
      <c r="Z63" s="241">
        <v>1</v>
      </c>
      <c r="AA63" s="241">
        <v>1</v>
      </c>
      <c r="AB63" s="241">
        <v>1</v>
      </c>
      <c r="AC63" s="241">
        <v>1</v>
      </c>
      <c r="AD63" s="241">
        <v>1</v>
      </c>
      <c r="AE63" s="242">
        <f t="shared" si="0"/>
        <v>12</v>
      </c>
      <c r="AF63" s="242" t="s">
        <v>202</v>
      </c>
      <c r="AG63" s="177">
        <v>20102</v>
      </c>
      <c r="AH63" s="177">
        <f t="shared" si="5"/>
        <v>241224</v>
      </c>
      <c r="AI63" s="177">
        <f>110439</f>
        <v>110439</v>
      </c>
      <c r="AJ63" s="177"/>
      <c r="AK63" s="177"/>
      <c r="AL63" s="177"/>
      <c r="AM63" s="177"/>
      <c r="AN63" s="243">
        <f>AH63</f>
        <v>241224</v>
      </c>
      <c r="AO63" s="146"/>
      <c r="AP63" s="136"/>
      <c r="AQ63" s="124"/>
      <c r="AR63" s="124"/>
      <c r="AS63" s="124"/>
    </row>
    <row r="64" spans="1:45" s="7" customFormat="1" ht="19.149999999999999" customHeight="1" x14ac:dyDescent="0.3">
      <c r="A64" s="132"/>
      <c r="B64" s="132"/>
      <c r="C64" s="241" t="s">
        <v>196</v>
      </c>
      <c r="D64" s="244" t="s">
        <v>198</v>
      </c>
      <c r="E64" s="240"/>
      <c r="F64" s="240"/>
      <c r="G64" s="240"/>
      <c r="H64" s="240"/>
      <c r="I64" s="240"/>
      <c r="J64" s="240"/>
      <c r="K64" s="240"/>
      <c r="L64" s="240"/>
      <c r="M64" s="240"/>
      <c r="N64" s="240"/>
      <c r="O64" s="240"/>
      <c r="P64" s="240"/>
      <c r="Q64" s="240"/>
      <c r="R64" s="240"/>
      <c r="S64" s="240">
        <v>1</v>
      </c>
      <c r="T64" s="240">
        <v>1</v>
      </c>
      <c r="U64" s="240">
        <v>1</v>
      </c>
      <c r="V64" s="241">
        <v>1</v>
      </c>
      <c r="W64" s="241">
        <v>1</v>
      </c>
      <c r="X64" s="241">
        <v>1</v>
      </c>
      <c r="Y64" s="241">
        <v>1</v>
      </c>
      <c r="Z64" s="241">
        <v>1</v>
      </c>
      <c r="AA64" s="241">
        <v>1</v>
      </c>
      <c r="AB64" s="241">
        <v>1</v>
      </c>
      <c r="AC64" s="241">
        <v>1</v>
      </c>
      <c r="AD64" s="241">
        <v>1</v>
      </c>
      <c r="AE64" s="242">
        <f t="shared" si="0"/>
        <v>12</v>
      </c>
      <c r="AF64" s="242" t="s">
        <v>202</v>
      </c>
      <c r="AG64" s="177">
        <v>4000</v>
      </c>
      <c r="AH64" s="177">
        <f t="shared" si="5"/>
        <v>48000</v>
      </c>
      <c r="AI64" s="177">
        <f>36488</f>
        <v>36488</v>
      </c>
      <c r="AJ64" s="177"/>
      <c r="AK64" s="177"/>
      <c r="AL64" s="177"/>
      <c r="AM64" s="177"/>
      <c r="AN64" s="243">
        <f>AH64</f>
        <v>48000</v>
      </c>
      <c r="AO64" s="155"/>
      <c r="AP64" s="138"/>
      <c r="AQ64" s="132"/>
      <c r="AR64" s="132"/>
      <c r="AS64" s="132"/>
    </row>
    <row r="65" spans="1:45" s="7" customFormat="1" ht="19.149999999999999" customHeight="1" x14ac:dyDescent="0.3">
      <c r="A65" s="132"/>
      <c r="B65" s="132"/>
      <c r="C65" s="167" t="s">
        <v>197</v>
      </c>
      <c r="D65" s="138" t="s">
        <v>200</v>
      </c>
      <c r="E65" s="138"/>
      <c r="F65" s="138"/>
      <c r="G65" s="138"/>
      <c r="H65" s="138"/>
      <c r="I65" s="138"/>
      <c r="J65" s="138"/>
      <c r="K65" s="138"/>
      <c r="L65" s="138"/>
      <c r="M65" s="138"/>
      <c r="N65" s="138"/>
      <c r="O65" s="138"/>
      <c r="P65" s="138"/>
      <c r="Q65" s="138"/>
      <c r="R65" s="138"/>
      <c r="S65" s="138">
        <v>1</v>
      </c>
      <c r="T65" s="138"/>
      <c r="U65" s="138"/>
      <c r="V65" s="167"/>
      <c r="W65" s="167"/>
      <c r="X65" s="167"/>
      <c r="Y65" s="167"/>
      <c r="Z65" s="167"/>
      <c r="AA65" s="167"/>
      <c r="AB65" s="167"/>
      <c r="AC65" s="167"/>
      <c r="AD65" s="167"/>
      <c r="AE65" s="170">
        <f t="shared" si="0"/>
        <v>1</v>
      </c>
      <c r="AF65" s="170" t="s">
        <v>203</v>
      </c>
      <c r="AG65" s="171">
        <v>33600</v>
      </c>
      <c r="AH65" s="171">
        <f t="shared" si="5"/>
        <v>33600</v>
      </c>
      <c r="AI65" s="171"/>
      <c r="AJ65" s="171"/>
      <c r="AK65" s="171"/>
      <c r="AL65" s="171"/>
      <c r="AM65" s="171"/>
      <c r="AN65" s="245">
        <f>AH65-AI65-AJ65-AK65-AL65-AM65</f>
        <v>33600</v>
      </c>
      <c r="AO65" s="155"/>
      <c r="AP65" s="138"/>
      <c r="AQ65" s="132"/>
      <c r="AR65" s="132"/>
      <c r="AS65" s="132"/>
    </row>
    <row r="66" spans="1:45" ht="21" customHeight="1" x14ac:dyDescent="0.3">
      <c r="A66" s="139"/>
      <c r="B66" s="139"/>
      <c r="C66" s="132" t="s">
        <v>204</v>
      </c>
      <c r="D66" s="132" t="s">
        <v>205</v>
      </c>
      <c r="E66" s="132"/>
      <c r="F66" s="132"/>
      <c r="G66" s="132"/>
      <c r="H66" s="132"/>
      <c r="I66" s="132"/>
      <c r="J66" s="132"/>
      <c r="K66" s="132"/>
      <c r="L66" s="132"/>
      <c r="M66" s="132"/>
      <c r="N66" s="132"/>
      <c r="O66" s="132"/>
      <c r="P66" s="132"/>
      <c r="Q66" s="132"/>
      <c r="R66" s="132"/>
      <c r="S66" s="132"/>
      <c r="T66" s="132"/>
      <c r="U66" s="132"/>
      <c r="V66" s="167"/>
      <c r="W66" s="167"/>
      <c r="X66" s="167"/>
      <c r="Y66" s="167"/>
      <c r="Z66" s="167"/>
      <c r="AA66" s="167"/>
      <c r="AB66" s="167"/>
      <c r="AC66" s="167"/>
      <c r="AD66" s="167"/>
      <c r="AE66" s="170">
        <f t="shared" si="0"/>
        <v>0</v>
      </c>
      <c r="AF66" s="170" t="s">
        <v>203</v>
      </c>
      <c r="AG66" s="170"/>
      <c r="AH66" s="171">
        <f t="shared" si="5"/>
        <v>0</v>
      </c>
      <c r="AI66" s="171"/>
      <c r="AJ66" s="171"/>
      <c r="AK66" s="171"/>
      <c r="AL66" s="171"/>
      <c r="AM66" s="171"/>
      <c r="AN66" s="245">
        <f>AH66-AI66-AJ66-AK66-AL66-AM66</f>
        <v>0</v>
      </c>
      <c r="AO66" s="156"/>
      <c r="AP66" s="139"/>
      <c r="AQ66" s="139"/>
      <c r="AR66" s="139"/>
      <c r="AS66" s="140" t="s">
        <v>216</v>
      </c>
    </row>
    <row r="67" spans="1:45" ht="19.149999999999999" customHeight="1" x14ac:dyDescent="0.3">
      <c r="A67" s="124"/>
      <c r="B67" s="141"/>
      <c r="C67" s="142" t="s">
        <v>213</v>
      </c>
      <c r="D67" s="143" t="s">
        <v>214</v>
      </c>
      <c r="E67" s="124"/>
      <c r="F67" s="124"/>
      <c r="G67" s="124"/>
      <c r="H67" s="124"/>
      <c r="I67" s="124"/>
      <c r="J67" s="132"/>
      <c r="K67" s="132"/>
      <c r="L67" s="132"/>
      <c r="M67" s="132"/>
      <c r="N67" s="132"/>
      <c r="O67" s="132"/>
      <c r="P67" s="132"/>
      <c r="Q67" s="132"/>
      <c r="R67" s="132"/>
      <c r="S67" s="132"/>
      <c r="T67" s="132"/>
      <c r="U67" s="132"/>
      <c r="V67" s="167"/>
      <c r="W67" s="167"/>
      <c r="X67" s="167">
        <v>1</v>
      </c>
      <c r="Y67" s="167"/>
      <c r="Z67" s="167"/>
      <c r="AA67" s="167"/>
      <c r="AB67" s="167"/>
      <c r="AC67" s="167"/>
      <c r="AD67" s="167"/>
      <c r="AE67" s="168">
        <f t="shared" si="0"/>
        <v>1</v>
      </c>
      <c r="AF67" s="168"/>
      <c r="AG67" s="170">
        <v>269</v>
      </c>
      <c r="AH67" s="171">
        <f t="shared" si="5"/>
        <v>269</v>
      </c>
      <c r="AI67" s="171"/>
      <c r="AJ67" s="169"/>
      <c r="AK67" s="169"/>
      <c r="AL67" s="169"/>
      <c r="AM67" s="169"/>
      <c r="AN67" s="245">
        <f>AH67-AI67-AJ67-AK67-AL67-AM67</f>
        <v>269</v>
      </c>
      <c r="AO67" s="146"/>
      <c r="AP67" s="124"/>
      <c r="AQ67" s="124"/>
      <c r="AR67" s="124"/>
      <c r="AS67" s="124"/>
    </row>
    <row r="68" spans="1:45" ht="19.149999999999999" customHeight="1" x14ac:dyDescent="0.3">
      <c r="A68" s="144"/>
      <c r="B68" s="304" t="s">
        <v>207</v>
      </c>
      <c r="C68" s="305"/>
      <c r="D68" s="306"/>
      <c r="E68" s="166"/>
      <c r="F68" s="166"/>
      <c r="G68" s="166"/>
      <c r="H68" s="166"/>
      <c r="I68" s="166"/>
      <c r="J68" s="166"/>
      <c r="K68" s="166"/>
      <c r="L68" s="166"/>
      <c r="M68" s="166"/>
      <c r="N68" s="166"/>
      <c r="O68" s="166"/>
      <c r="P68" s="166"/>
      <c r="Q68" s="166"/>
      <c r="R68" s="166"/>
      <c r="S68" s="166"/>
      <c r="T68" s="166"/>
      <c r="U68" s="166"/>
      <c r="V68" s="172"/>
      <c r="W68" s="172"/>
      <c r="X68" s="172"/>
      <c r="Y68" s="172"/>
      <c r="Z68" s="172"/>
      <c r="AA68" s="172"/>
      <c r="AB68" s="172"/>
      <c r="AC68" s="172"/>
      <c r="AD68" s="172"/>
      <c r="AE68" s="173"/>
      <c r="AF68" s="173"/>
      <c r="AG68" s="173"/>
      <c r="AH68" s="174">
        <f>SUM(AH6:AH67)</f>
        <v>2037968</v>
      </c>
      <c r="AI68" s="174">
        <f>SUM(AI6:AI67)</f>
        <v>1173369</v>
      </c>
      <c r="AJ68" s="174">
        <f>SUM(AJ7:AJ67)</f>
        <v>179200</v>
      </c>
      <c r="AK68" s="174">
        <f>SUM(AK6:AK67)</f>
        <v>10000</v>
      </c>
      <c r="AL68" s="174">
        <f>SUM(AL6:AL67)</f>
        <v>11000</v>
      </c>
      <c r="AM68" s="174"/>
      <c r="AN68" s="175">
        <f>SUM(AN7:AN67)</f>
        <v>916820</v>
      </c>
      <c r="AO68" s="157"/>
      <c r="AP68" s="144"/>
      <c r="AQ68" s="144"/>
      <c r="AR68" s="144"/>
      <c r="AS68" s="144"/>
    </row>
    <row r="69" spans="1:45" x14ac:dyDescent="0.3">
      <c r="AG69" s="7"/>
      <c r="AH69" s="232"/>
    </row>
    <row r="70" spans="1:45" x14ac:dyDescent="0.3">
      <c r="AG70" s="7"/>
      <c r="AH70" s="7"/>
      <c r="AN70" s="6"/>
    </row>
    <row r="71" spans="1:45" x14ac:dyDescent="0.3">
      <c r="AG71" s="7"/>
      <c r="AH71" s="7"/>
    </row>
    <row r="72" spans="1:45" x14ac:dyDescent="0.3">
      <c r="AG72" s="7"/>
      <c r="AH72" s="7"/>
    </row>
    <row r="73" spans="1:45" x14ac:dyDescent="0.3">
      <c r="AG73" s="7"/>
      <c r="AH73" s="7"/>
    </row>
    <row r="74" spans="1:45" x14ac:dyDescent="0.3">
      <c r="AB74" s="1">
        <v>916820</v>
      </c>
      <c r="AG74" s="7"/>
      <c r="AH74" s="7"/>
    </row>
    <row r="75" spans="1:45" x14ac:dyDescent="0.3">
      <c r="AB75" s="6">
        <f>AH68-AI68-AJ68-AK68-AL68</f>
        <v>664399</v>
      </c>
      <c r="AG75" s="7"/>
      <c r="AH75" s="7"/>
    </row>
    <row r="76" spans="1:45" x14ac:dyDescent="0.3">
      <c r="AB76" s="6">
        <f>AB74-AB75</f>
        <v>252421</v>
      </c>
      <c r="AG76" s="7"/>
      <c r="AH76" s="7"/>
      <c r="AI76" s="7"/>
      <c r="AJ76" s="1"/>
      <c r="AK76" s="1"/>
      <c r="AL76" s="1"/>
      <c r="AM76" s="1"/>
    </row>
    <row r="77" spans="1:45" x14ac:dyDescent="0.3">
      <c r="AG77" s="7"/>
      <c r="AH77" s="7"/>
      <c r="AK77" s="2">
        <f>AH68-AI68-AJ68-AK68-AL68-AN68</f>
        <v>-252421</v>
      </c>
      <c r="AM77" s="2">
        <f>2037699-2304750</f>
        <v>-267051</v>
      </c>
    </row>
    <row r="78" spans="1:45" x14ac:dyDescent="0.3">
      <c r="AG78" s="7"/>
      <c r="AH78" s="7"/>
    </row>
    <row r="79" spans="1:45" x14ac:dyDescent="0.3">
      <c r="AG79" s="7"/>
      <c r="AH79" s="7"/>
    </row>
    <row r="80" spans="1:45" x14ac:dyDescent="0.3">
      <c r="AG80" s="7"/>
      <c r="AH80" s="7"/>
      <c r="AM80" s="2">
        <v>1387930</v>
      </c>
    </row>
    <row r="81" spans="33:39" x14ac:dyDescent="0.3">
      <c r="AG81" s="7"/>
      <c r="AH81" s="7"/>
      <c r="AM81" s="2">
        <v>916580</v>
      </c>
    </row>
    <row r="82" spans="33:39" x14ac:dyDescent="0.3">
      <c r="AG82" s="7"/>
      <c r="AH82" s="7"/>
      <c r="AM82" s="2">
        <f>SUM(AM80:AM81)</f>
        <v>2304510</v>
      </c>
    </row>
    <row r="83" spans="33:39" x14ac:dyDescent="0.3">
      <c r="AG83" s="7"/>
      <c r="AH83" s="7"/>
    </row>
    <row r="84" spans="33:39" x14ac:dyDescent="0.3">
      <c r="AG84" s="7"/>
      <c r="AH84" s="7"/>
    </row>
    <row r="85" spans="33:39" x14ac:dyDescent="0.3">
      <c r="AG85" s="7"/>
      <c r="AH85" s="7"/>
    </row>
    <row r="86" spans="33:39" x14ac:dyDescent="0.3">
      <c r="AG86" s="7"/>
      <c r="AH86" s="7"/>
    </row>
    <row r="87" spans="33:39" x14ac:dyDescent="0.3">
      <c r="AG87" s="7"/>
      <c r="AH87" s="7"/>
    </row>
    <row r="279" spans="17:17" x14ac:dyDescent="0.3">
      <c r="Q279" s="1">
        <f>SUM(WP_to_Sep_21_Combine_All_Budget!$Q$59:$Q$278)</f>
        <v>5</v>
      </c>
    </row>
    <row r="280" spans="17:17" x14ac:dyDescent="0.3">
      <c r="Q280" s="1">
        <f>SUM(WP_to_Sep_21_Combine_All_Budget!$Q$59:$Q$278)</f>
        <v>5</v>
      </c>
    </row>
    <row r="281" spans="17:17" x14ac:dyDescent="0.3">
      <c r="Q281" s="1">
        <f>SUM(WP_to_Sep_21_Combine_All_Budget!$Q$59:$Q$278)</f>
        <v>5</v>
      </c>
    </row>
    <row r="282" spans="17:17" x14ac:dyDescent="0.3">
      <c r="Q282" s="1">
        <f>SUM(WP_to_Sep_21_Combine_All_Budget!$Q$59:$Q$278)</f>
        <v>5</v>
      </c>
    </row>
    <row r="283" spans="17:17" x14ac:dyDescent="0.3">
      <c r="Q283" s="1">
        <f>SUM(WP_to_Sep_21_Combine_All_Budget!$Q$59:$Q$278)</f>
        <v>5</v>
      </c>
    </row>
  </sheetData>
  <mergeCells count="12">
    <mergeCell ref="AI4:AM4"/>
    <mergeCell ref="B68:D68"/>
    <mergeCell ref="D2:H2"/>
    <mergeCell ref="J4:AD4"/>
    <mergeCell ref="E17:E18"/>
    <mergeCell ref="E12:E15"/>
    <mergeCell ref="E59:E60"/>
    <mergeCell ref="E36:E37"/>
    <mergeCell ref="E21:E22"/>
    <mergeCell ref="E24:E28"/>
    <mergeCell ref="E48:E49"/>
    <mergeCell ref="E51:E53"/>
  </mergeCells>
  <phoneticPr fontId="4" type="noConversion"/>
  <pageMargins left="0.7" right="0.7" top="0.75" bottom="0.75" header="0.3" footer="0.3"/>
  <pageSetup paperSize="9" scale="29" fitToHeight="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5653E-002F-4BDC-9998-D1B1538529EE}">
  <dimension ref="A1:R95"/>
  <sheetViews>
    <sheetView topLeftCell="A4" zoomScale="60" zoomScaleNormal="60" zoomScalePageLayoutView="40" workbookViewId="0">
      <selection activeCell="G11" sqref="G11"/>
    </sheetView>
  </sheetViews>
  <sheetFormatPr defaultColWidth="18.125" defaultRowHeight="75" customHeight="1" x14ac:dyDescent="0.8"/>
  <cols>
    <col min="1" max="1" width="10.625" style="9" customWidth="1"/>
    <col min="2" max="2" width="51.375" style="9" customWidth="1"/>
    <col min="3" max="3" width="57.25" style="9" customWidth="1"/>
    <col min="4" max="5" width="19.375" style="9" customWidth="1"/>
    <col min="6" max="6" width="30.25" style="9" customWidth="1"/>
    <col min="7" max="7" width="20.625" style="9" customWidth="1"/>
    <col min="8" max="9" width="15.625" style="9" customWidth="1"/>
    <col min="10" max="16384" width="18.125" style="9"/>
  </cols>
  <sheetData>
    <row r="1" spans="1:7" ht="75" hidden="1" customHeight="1" x14ac:dyDescent="0.8">
      <c r="A1" s="322" t="s">
        <v>232</v>
      </c>
      <c r="B1" s="322"/>
      <c r="C1" s="322"/>
    </row>
    <row r="2" spans="1:7" ht="75" hidden="1" customHeight="1" x14ac:dyDescent="0.8">
      <c r="A2" s="323" t="s">
        <v>562</v>
      </c>
      <c r="B2" s="323"/>
      <c r="C2" s="323"/>
    </row>
    <row r="3" spans="1:7" ht="75" hidden="1" customHeight="1" x14ac:dyDescent="0.8">
      <c r="A3" s="324" t="s">
        <v>234</v>
      </c>
      <c r="B3" s="324"/>
      <c r="C3" s="324"/>
    </row>
    <row r="4" spans="1:7" ht="110.25" customHeight="1" x14ac:dyDescent="0.8">
      <c r="A4" s="320" t="s">
        <v>235</v>
      </c>
      <c r="B4" s="320" t="s">
        <v>236</v>
      </c>
      <c r="C4" s="325" t="s">
        <v>237</v>
      </c>
      <c r="D4" s="320" t="s">
        <v>645</v>
      </c>
      <c r="E4" s="320" t="s">
        <v>563</v>
      </c>
      <c r="F4" s="320" t="s">
        <v>564</v>
      </c>
      <c r="G4" s="320" t="s">
        <v>565</v>
      </c>
    </row>
    <row r="5" spans="1:7" ht="50.25" customHeight="1" x14ac:dyDescent="0.8">
      <c r="A5" s="320"/>
      <c r="B5" s="320"/>
      <c r="C5" s="325"/>
      <c r="D5" s="320"/>
      <c r="E5" s="320"/>
      <c r="F5" s="320"/>
      <c r="G5" s="320"/>
    </row>
    <row r="6" spans="1:7" ht="75" hidden="1" customHeight="1" x14ac:dyDescent="0.8">
      <c r="A6" s="18">
        <v>1.1000000000000001</v>
      </c>
      <c r="B6" s="321" t="s">
        <v>273</v>
      </c>
      <c r="C6" s="321"/>
      <c r="D6" s="321"/>
      <c r="E6" s="321"/>
      <c r="F6" s="321"/>
      <c r="G6" s="321"/>
    </row>
    <row r="7" spans="1:7" ht="75" customHeight="1" x14ac:dyDescent="0.8">
      <c r="A7" s="99" t="s">
        <v>274</v>
      </c>
      <c r="B7" s="100" t="s">
        <v>566</v>
      </c>
      <c r="C7" s="101" t="s">
        <v>567</v>
      </c>
      <c r="D7" s="102">
        <v>7500</v>
      </c>
      <c r="E7" s="102"/>
      <c r="F7" s="102"/>
      <c r="G7" s="102"/>
    </row>
    <row r="8" spans="1:7" ht="75" customHeight="1" x14ac:dyDescent="0.8">
      <c r="A8" s="99"/>
      <c r="B8" s="100" t="s">
        <v>568</v>
      </c>
      <c r="C8" s="101" t="s">
        <v>567</v>
      </c>
      <c r="D8" s="102"/>
      <c r="E8" s="102">
        <v>12000</v>
      </c>
      <c r="F8" s="102"/>
      <c r="G8" s="102"/>
    </row>
    <row r="9" spans="1:7" ht="75" customHeight="1" x14ac:dyDescent="0.8">
      <c r="A9" s="99" t="s">
        <v>285</v>
      </c>
      <c r="B9" s="100" t="s">
        <v>569</v>
      </c>
      <c r="C9" s="101" t="s">
        <v>287</v>
      </c>
      <c r="D9" s="102">
        <v>5000</v>
      </c>
      <c r="E9" s="102"/>
      <c r="F9" s="102"/>
      <c r="G9" s="102"/>
    </row>
    <row r="10" spans="1:7" ht="75" customHeight="1" x14ac:dyDescent="0.8">
      <c r="A10" s="99"/>
      <c r="B10" s="100" t="s">
        <v>570</v>
      </c>
      <c r="C10" s="101" t="s">
        <v>287</v>
      </c>
      <c r="D10" s="102"/>
      <c r="E10" s="102">
        <v>5000</v>
      </c>
      <c r="F10" s="102"/>
      <c r="G10" s="102"/>
    </row>
    <row r="11" spans="1:7" ht="75" customHeight="1" x14ac:dyDescent="0.8">
      <c r="A11" s="99"/>
      <c r="B11" s="100" t="s">
        <v>571</v>
      </c>
      <c r="C11" s="101" t="s">
        <v>287</v>
      </c>
      <c r="D11" s="102"/>
      <c r="E11" s="102">
        <v>3000</v>
      </c>
      <c r="F11" s="102"/>
      <c r="G11" s="102"/>
    </row>
    <row r="12" spans="1:7" ht="75" hidden="1" customHeight="1" x14ac:dyDescent="0.8">
      <c r="A12" s="99" t="s">
        <v>291</v>
      </c>
      <c r="B12" s="100" t="s">
        <v>292</v>
      </c>
      <c r="C12" s="101" t="s">
        <v>287</v>
      </c>
      <c r="D12" s="102"/>
      <c r="E12" s="102"/>
      <c r="F12" s="102"/>
      <c r="G12" s="102"/>
    </row>
    <row r="13" spans="1:7" ht="75" hidden="1" customHeight="1" x14ac:dyDescent="0.8">
      <c r="A13" s="99" t="s">
        <v>294</v>
      </c>
      <c r="B13" s="103" t="s">
        <v>295</v>
      </c>
      <c r="C13" s="101" t="s">
        <v>296</v>
      </c>
      <c r="D13" s="102"/>
      <c r="E13" s="102"/>
      <c r="F13" s="102"/>
      <c r="G13" s="102"/>
    </row>
    <row r="14" spans="1:7" ht="75" customHeight="1" x14ac:dyDescent="0.8">
      <c r="A14" s="99" t="s">
        <v>298</v>
      </c>
      <c r="B14" s="103" t="s">
        <v>299</v>
      </c>
      <c r="C14" s="101" t="s">
        <v>300</v>
      </c>
      <c r="D14" s="102">
        <v>3660</v>
      </c>
      <c r="E14" s="102"/>
      <c r="F14" s="102"/>
      <c r="G14" s="102"/>
    </row>
    <row r="15" spans="1:7" ht="75" customHeight="1" x14ac:dyDescent="0.8">
      <c r="A15" s="104" t="s">
        <v>303</v>
      </c>
      <c r="B15" s="103" t="s">
        <v>304</v>
      </c>
      <c r="C15" s="101" t="s">
        <v>305</v>
      </c>
      <c r="D15" s="102">
        <v>1500</v>
      </c>
      <c r="E15" s="102"/>
      <c r="F15" s="102"/>
      <c r="G15" s="102"/>
    </row>
    <row r="16" spans="1:7" ht="75" hidden="1" customHeight="1" x14ac:dyDescent="0.8">
      <c r="A16" s="104" t="s">
        <v>309</v>
      </c>
      <c r="B16" s="103" t="s">
        <v>310</v>
      </c>
      <c r="C16" s="101" t="s">
        <v>310</v>
      </c>
      <c r="D16" s="102"/>
      <c r="E16" s="102"/>
      <c r="F16" s="102"/>
      <c r="G16" s="102"/>
    </row>
    <row r="17" spans="1:7" ht="75" customHeight="1" x14ac:dyDescent="0.8">
      <c r="A17" s="99" t="s">
        <v>313</v>
      </c>
      <c r="B17" s="103" t="s">
        <v>314</v>
      </c>
      <c r="C17" s="101" t="s">
        <v>315</v>
      </c>
      <c r="D17" s="102">
        <v>3000</v>
      </c>
      <c r="E17" s="102"/>
      <c r="F17" s="102"/>
      <c r="G17" s="102"/>
    </row>
    <row r="18" spans="1:7" s="36" customFormat="1" ht="75" hidden="1" customHeight="1" x14ac:dyDescent="0.8">
      <c r="A18" s="99" t="s">
        <v>319</v>
      </c>
      <c r="B18" s="104" t="s">
        <v>320</v>
      </c>
      <c r="C18" s="22" t="s">
        <v>320</v>
      </c>
      <c r="D18" s="102"/>
      <c r="E18" s="102"/>
      <c r="F18" s="102"/>
      <c r="G18" s="102"/>
    </row>
    <row r="19" spans="1:7" s="38" customFormat="1" ht="75" hidden="1" customHeight="1" x14ac:dyDescent="0.8">
      <c r="A19" s="315" t="s">
        <v>323</v>
      </c>
      <c r="B19" s="315"/>
      <c r="C19" s="315"/>
      <c r="D19" s="102"/>
      <c r="E19" s="102"/>
      <c r="F19" s="102"/>
      <c r="G19" s="102"/>
    </row>
    <row r="20" spans="1:7" s="39" customFormat="1" ht="75" hidden="1" customHeight="1" x14ac:dyDescent="0.65">
      <c r="A20" s="315" t="s">
        <v>324</v>
      </c>
      <c r="B20" s="315"/>
      <c r="C20" s="315"/>
      <c r="D20" s="102"/>
      <c r="E20" s="102"/>
      <c r="F20" s="102"/>
      <c r="G20" s="102"/>
    </row>
    <row r="21" spans="1:7" ht="75" hidden="1" customHeight="1" x14ac:dyDescent="0.8">
      <c r="A21" s="105">
        <v>2.1</v>
      </c>
      <c r="B21" s="316" t="s">
        <v>325</v>
      </c>
      <c r="C21" s="316"/>
      <c r="D21" s="102"/>
      <c r="E21" s="102"/>
      <c r="F21" s="102"/>
      <c r="G21" s="102"/>
    </row>
    <row r="22" spans="1:7" ht="75" customHeight="1" x14ac:dyDescent="0.8">
      <c r="A22" s="106" t="s">
        <v>326</v>
      </c>
      <c r="B22" s="105" t="s">
        <v>572</v>
      </c>
      <c r="C22" s="107" t="s">
        <v>328</v>
      </c>
      <c r="D22" s="102">
        <v>94494</v>
      </c>
      <c r="E22" s="102"/>
      <c r="F22" s="102"/>
      <c r="G22" s="102"/>
    </row>
    <row r="23" spans="1:7" ht="75" customHeight="1" x14ac:dyDescent="0.8">
      <c r="A23" s="106" t="s">
        <v>333</v>
      </c>
      <c r="B23" s="106" t="s">
        <v>334</v>
      </c>
      <c r="C23" s="107" t="s">
        <v>335</v>
      </c>
      <c r="D23" s="102">
        <v>110439</v>
      </c>
      <c r="E23" s="102"/>
      <c r="F23" s="102"/>
      <c r="G23" s="102"/>
    </row>
    <row r="24" spans="1:7" ht="75" customHeight="1" x14ac:dyDescent="0.8">
      <c r="A24" s="106" t="s">
        <v>340</v>
      </c>
      <c r="B24" s="106" t="s">
        <v>341</v>
      </c>
      <c r="C24" s="108" t="s">
        <v>342</v>
      </c>
      <c r="D24" s="102">
        <v>36488</v>
      </c>
      <c r="E24" s="102"/>
      <c r="F24" s="102"/>
      <c r="G24" s="102"/>
    </row>
    <row r="25" spans="1:7" ht="75" hidden="1" customHeight="1" x14ac:dyDescent="0.8">
      <c r="A25" s="106" t="s">
        <v>344</v>
      </c>
      <c r="B25" s="106" t="s">
        <v>345</v>
      </c>
      <c r="C25" s="108" t="s">
        <v>346</v>
      </c>
      <c r="D25" s="102"/>
      <c r="E25" s="102"/>
      <c r="F25" s="102"/>
      <c r="G25" s="102"/>
    </row>
    <row r="26" spans="1:7" ht="75" hidden="1" customHeight="1" x14ac:dyDescent="0.8">
      <c r="A26" s="106" t="s">
        <v>349</v>
      </c>
      <c r="B26" s="106" t="s">
        <v>350</v>
      </c>
      <c r="C26" s="107" t="s">
        <v>351</v>
      </c>
      <c r="D26" s="102"/>
      <c r="E26" s="102"/>
      <c r="F26" s="102"/>
      <c r="G26" s="102"/>
    </row>
    <row r="27" spans="1:7" ht="75" hidden="1" customHeight="1" x14ac:dyDescent="0.8">
      <c r="A27" s="106" t="s">
        <v>354</v>
      </c>
      <c r="B27" s="106" t="s">
        <v>355</v>
      </c>
      <c r="C27" s="107" t="s">
        <v>356</v>
      </c>
      <c r="D27" s="102"/>
      <c r="E27" s="102"/>
      <c r="F27" s="102"/>
      <c r="G27" s="102"/>
    </row>
    <row r="28" spans="1:7" ht="75" hidden="1" customHeight="1" x14ac:dyDescent="0.8">
      <c r="A28" s="106" t="s">
        <v>360</v>
      </c>
      <c r="B28" s="109" t="s">
        <v>361</v>
      </c>
      <c r="C28" s="108" t="s">
        <v>362</v>
      </c>
      <c r="D28" s="102"/>
      <c r="E28" s="102"/>
      <c r="F28" s="102"/>
      <c r="G28" s="102"/>
    </row>
    <row r="29" spans="1:7" ht="75" customHeight="1" x14ac:dyDescent="0.8">
      <c r="A29" s="106" t="s">
        <v>365</v>
      </c>
      <c r="B29" s="109" t="s">
        <v>366</v>
      </c>
      <c r="C29" s="107" t="s">
        <v>366</v>
      </c>
      <c r="D29" s="102">
        <v>3000</v>
      </c>
      <c r="E29" s="102">
        <v>8000</v>
      </c>
      <c r="F29" s="102"/>
      <c r="G29" s="102"/>
    </row>
    <row r="30" spans="1:7" ht="75" customHeight="1" x14ac:dyDescent="0.8">
      <c r="A30" s="106" t="s">
        <v>370</v>
      </c>
      <c r="B30" s="109" t="s">
        <v>371</v>
      </c>
      <c r="C30" s="107" t="s">
        <v>372</v>
      </c>
      <c r="D30" s="102">
        <v>3385</v>
      </c>
      <c r="E30" s="102">
        <v>3500</v>
      </c>
      <c r="F30" s="102"/>
      <c r="G30" s="102"/>
    </row>
    <row r="31" spans="1:7" ht="75" hidden="1" customHeight="1" x14ac:dyDescent="0.8">
      <c r="A31" s="106" t="s">
        <v>375</v>
      </c>
      <c r="B31" s="109" t="s">
        <v>376</v>
      </c>
      <c r="C31" s="107"/>
      <c r="D31" s="102"/>
      <c r="E31" s="102"/>
      <c r="F31" s="102"/>
      <c r="G31" s="102"/>
    </row>
    <row r="32" spans="1:7" ht="75" hidden="1" customHeight="1" x14ac:dyDescent="0.8">
      <c r="A32" s="106" t="s">
        <v>377</v>
      </c>
      <c r="B32" s="109" t="s">
        <v>378</v>
      </c>
      <c r="C32" s="107"/>
      <c r="D32" s="102"/>
      <c r="E32" s="102"/>
      <c r="F32" s="102"/>
      <c r="G32" s="102"/>
    </row>
    <row r="33" spans="1:7" ht="75" hidden="1" customHeight="1" x14ac:dyDescent="0.8">
      <c r="A33" s="106" t="s">
        <v>379</v>
      </c>
      <c r="B33" s="106" t="s">
        <v>380</v>
      </c>
      <c r="C33" s="107"/>
      <c r="D33" s="102"/>
      <c r="E33" s="102"/>
      <c r="F33" s="102"/>
      <c r="G33" s="102"/>
    </row>
    <row r="34" spans="1:7" ht="75" hidden="1" customHeight="1" x14ac:dyDescent="0.8">
      <c r="A34" s="315" t="s">
        <v>381</v>
      </c>
      <c r="B34" s="315"/>
      <c r="C34" s="315"/>
      <c r="D34" s="102"/>
      <c r="E34" s="102"/>
      <c r="F34" s="102"/>
      <c r="G34" s="102"/>
    </row>
    <row r="35" spans="1:7" ht="75" hidden="1" customHeight="1" x14ac:dyDescent="0.8">
      <c r="A35" s="105">
        <v>2.2000000000000002</v>
      </c>
      <c r="B35" s="315" t="s">
        <v>382</v>
      </c>
      <c r="C35" s="315"/>
      <c r="D35" s="102"/>
      <c r="E35" s="102" t="s">
        <v>383</v>
      </c>
      <c r="F35" s="102"/>
      <c r="G35" s="102"/>
    </row>
    <row r="36" spans="1:7" ht="75" hidden="1" customHeight="1" x14ac:dyDescent="0.8">
      <c r="A36" s="109" t="s">
        <v>384</v>
      </c>
      <c r="B36" s="105" t="s">
        <v>385</v>
      </c>
      <c r="C36" s="106" t="s">
        <v>386</v>
      </c>
      <c r="D36" s="102"/>
      <c r="E36" s="102"/>
      <c r="F36" s="102"/>
      <c r="G36" s="102"/>
    </row>
    <row r="37" spans="1:7" ht="75" hidden="1" customHeight="1" x14ac:dyDescent="0.8">
      <c r="A37" s="109" t="s">
        <v>388</v>
      </c>
      <c r="B37" s="105" t="s">
        <v>389</v>
      </c>
      <c r="C37" s="106" t="s">
        <v>390</v>
      </c>
      <c r="D37" s="102"/>
      <c r="E37" s="102"/>
      <c r="F37" s="102"/>
      <c r="G37" s="102"/>
    </row>
    <row r="38" spans="1:7" ht="75" hidden="1" customHeight="1" x14ac:dyDescent="0.8">
      <c r="A38" s="109" t="s">
        <v>395</v>
      </c>
      <c r="B38" s="105" t="s">
        <v>396</v>
      </c>
      <c r="C38" s="106" t="s">
        <v>397</v>
      </c>
      <c r="D38" s="102"/>
      <c r="E38" s="102"/>
      <c r="F38" s="102"/>
      <c r="G38" s="102"/>
    </row>
    <row r="39" spans="1:7" ht="75" customHeight="1" x14ac:dyDescent="0.8">
      <c r="A39" s="109" t="s">
        <v>402</v>
      </c>
      <c r="B39" s="105" t="s">
        <v>403</v>
      </c>
      <c r="C39" s="105" t="s">
        <v>404</v>
      </c>
      <c r="D39" s="102"/>
      <c r="E39" s="102">
        <v>31500</v>
      </c>
      <c r="F39" s="102"/>
      <c r="G39" s="102"/>
    </row>
    <row r="40" spans="1:7" ht="108.75" customHeight="1" x14ac:dyDescent="0.8">
      <c r="A40" s="109" t="s">
        <v>406</v>
      </c>
      <c r="B40" s="110" t="s">
        <v>407</v>
      </c>
      <c r="C40" s="106" t="s">
        <v>408</v>
      </c>
      <c r="D40" s="102">
        <v>3883</v>
      </c>
      <c r="E40" s="102"/>
      <c r="F40" s="102"/>
      <c r="G40" s="102">
        <v>5000</v>
      </c>
    </row>
    <row r="41" spans="1:7" ht="129.75" customHeight="1" x14ac:dyDescent="0.8">
      <c r="A41" s="109" t="s">
        <v>411</v>
      </c>
      <c r="B41" s="105" t="s">
        <v>412</v>
      </c>
      <c r="C41" s="106" t="s">
        <v>413</v>
      </c>
      <c r="D41" s="102">
        <v>4200</v>
      </c>
      <c r="E41" s="102"/>
      <c r="F41" s="102"/>
      <c r="G41" s="102"/>
    </row>
    <row r="42" spans="1:7" s="61" customFormat="1" ht="75" hidden="1" customHeight="1" x14ac:dyDescent="0.8">
      <c r="A42" s="99" t="s">
        <v>416</v>
      </c>
      <c r="B42" s="99" t="s">
        <v>412</v>
      </c>
      <c r="C42" s="99" t="s">
        <v>417</v>
      </c>
      <c r="D42" s="111"/>
      <c r="E42" s="111"/>
      <c r="F42" s="111"/>
      <c r="G42" s="111"/>
    </row>
    <row r="43" spans="1:7" ht="75" hidden="1" customHeight="1" x14ac:dyDescent="0.8">
      <c r="A43" s="315" t="s">
        <v>421</v>
      </c>
      <c r="B43" s="315"/>
      <c r="C43" s="315"/>
      <c r="D43" s="102"/>
      <c r="E43" s="102"/>
      <c r="F43" s="102"/>
      <c r="G43" s="102"/>
    </row>
    <row r="44" spans="1:7" ht="75" hidden="1" customHeight="1" x14ac:dyDescent="0.8">
      <c r="A44" s="110">
        <v>2.2999999999999998</v>
      </c>
      <c r="B44" s="315" t="s">
        <v>422</v>
      </c>
      <c r="C44" s="315"/>
      <c r="D44" s="102"/>
      <c r="E44" s="102"/>
      <c r="F44" s="102"/>
      <c r="G44" s="102"/>
    </row>
    <row r="45" spans="1:7" ht="75" customHeight="1" x14ac:dyDescent="0.8">
      <c r="A45" s="109" t="s">
        <v>423</v>
      </c>
      <c r="B45" s="318" t="s">
        <v>424</v>
      </c>
      <c r="C45" s="106" t="s">
        <v>425</v>
      </c>
      <c r="D45" s="102"/>
      <c r="E45" s="102"/>
      <c r="F45" s="102"/>
      <c r="G45" s="102"/>
    </row>
    <row r="46" spans="1:7" ht="75" customHeight="1" x14ac:dyDescent="0.8">
      <c r="A46" s="109"/>
      <c r="B46" s="318"/>
      <c r="C46" s="106" t="s">
        <v>573</v>
      </c>
      <c r="D46" s="102"/>
      <c r="E46" s="102">
        <v>3000</v>
      </c>
      <c r="F46" s="102"/>
      <c r="G46" s="102"/>
    </row>
    <row r="47" spans="1:7" ht="75" customHeight="1" x14ac:dyDescent="0.8">
      <c r="A47" s="109"/>
      <c r="B47" s="318"/>
      <c r="C47" s="106" t="s">
        <v>574</v>
      </c>
      <c r="D47" s="102"/>
      <c r="E47" s="102"/>
      <c r="F47" s="102"/>
      <c r="G47" s="102">
        <v>6000</v>
      </c>
    </row>
    <row r="48" spans="1:7" ht="75" customHeight="1" x14ac:dyDescent="0.8">
      <c r="A48" s="109" t="s">
        <v>429</v>
      </c>
      <c r="B48" s="106" t="s">
        <v>430</v>
      </c>
      <c r="C48" s="106" t="s">
        <v>431</v>
      </c>
      <c r="D48" s="102"/>
      <c r="E48" s="102">
        <v>1200</v>
      </c>
      <c r="F48" s="102"/>
      <c r="G48" s="102"/>
    </row>
    <row r="49" spans="1:7" ht="75" hidden="1" customHeight="1" x14ac:dyDescent="0.8">
      <c r="A49" s="315" t="s">
        <v>434</v>
      </c>
      <c r="B49" s="315"/>
      <c r="C49" s="315"/>
      <c r="D49" s="102"/>
      <c r="E49" s="102"/>
      <c r="F49" s="102"/>
      <c r="G49" s="102"/>
    </row>
    <row r="50" spans="1:7" s="50" customFormat="1" ht="75" hidden="1" customHeight="1" x14ac:dyDescent="0.8">
      <c r="A50" s="319" t="s">
        <v>435</v>
      </c>
      <c r="B50" s="319"/>
      <c r="C50" s="319"/>
      <c r="D50" s="102"/>
      <c r="E50" s="102"/>
      <c r="F50" s="102"/>
      <c r="G50" s="102"/>
    </row>
    <row r="51" spans="1:7" ht="75" hidden="1" customHeight="1" x14ac:dyDescent="0.8">
      <c r="A51" s="316" t="s">
        <v>436</v>
      </c>
      <c r="B51" s="316"/>
      <c r="C51" s="316"/>
      <c r="D51" s="102"/>
      <c r="E51" s="102"/>
      <c r="F51" s="102"/>
      <c r="G51" s="102"/>
    </row>
    <row r="52" spans="1:7" ht="75" hidden="1" customHeight="1" x14ac:dyDescent="0.8">
      <c r="A52" s="110">
        <v>3.1</v>
      </c>
      <c r="B52" s="316" t="s">
        <v>437</v>
      </c>
      <c r="C52" s="316"/>
      <c r="D52" s="102"/>
      <c r="E52" s="102"/>
      <c r="F52" s="102"/>
      <c r="G52" s="102"/>
    </row>
    <row r="53" spans="1:7" ht="75" hidden="1" customHeight="1" x14ac:dyDescent="0.8">
      <c r="A53" s="109" t="s">
        <v>438</v>
      </c>
      <c r="B53" s="105" t="s">
        <v>439</v>
      </c>
      <c r="C53" s="112" t="s">
        <v>440</v>
      </c>
      <c r="D53" s="102"/>
      <c r="E53" s="102"/>
      <c r="F53" s="102"/>
      <c r="G53" s="102"/>
    </row>
    <row r="54" spans="1:7" ht="75" hidden="1" customHeight="1" x14ac:dyDescent="0.8">
      <c r="A54" s="109" t="s">
        <v>445</v>
      </c>
      <c r="B54" s="109" t="s">
        <v>446</v>
      </c>
      <c r="C54" s="106"/>
      <c r="D54" s="102"/>
      <c r="E54" s="102"/>
      <c r="F54" s="102"/>
      <c r="G54" s="102"/>
    </row>
    <row r="55" spans="1:7" ht="75" hidden="1" customHeight="1" x14ac:dyDescent="0.8">
      <c r="A55" s="109" t="s">
        <v>447</v>
      </c>
      <c r="B55" s="109" t="s">
        <v>448</v>
      </c>
      <c r="C55" s="106"/>
      <c r="D55" s="102"/>
      <c r="E55" s="102"/>
      <c r="F55" s="102"/>
      <c r="G55" s="102"/>
    </row>
    <row r="56" spans="1:7" ht="75" customHeight="1" x14ac:dyDescent="0.8">
      <c r="A56" s="109" t="s">
        <v>447</v>
      </c>
      <c r="B56" s="109" t="s">
        <v>449</v>
      </c>
      <c r="C56" s="106" t="s">
        <v>575</v>
      </c>
      <c r="D56" s="102">
        <v>222276</v>
      </c>
      <c r="E56" s="102"/>
      <c r="F56" s="102"/>
      <c r="G56" s="102"/>
    </row>
    <row r="57" spans="1:7" ht="75" hidden="1" customHeight="1" x14ac:dyDescent="0.8">
      <c r="A57" s="109" t="s">
        <v>447</v>
      </c>
      <c r="B57" s="109" t="s">
        <v>449</v>
      </c>
      <c r="C57" s="106"/>
      <c r="D57" s="102"/>
      <c r="E57" s="102"/>
      <c r="F57" s="102"/>
      <c r="G57" s="102"/>
    </row>
    <row r="58" spans="1:7" ht="75" hidden="1" customHeight="1" x14ac:dyDescent="0.8">
      <c r="A58" s="109" t="s">
        <v>445</v>
      </c>
      <c r="B58" s="109" t="s">
        <v>455</v>
      </c>
      <c r="C58" s="106"/>
      <c r="D58" s="102"/>
      <c r="E58" s="102"/>
      <c r="F58" s="102"/>
      <c r="G58" s="102"/>
    </row>
    <row r="59" spans="1:7" ht="75" hidden="1" customHeight="1" x14ac:dyDescent="0.8">
      <c r="A59" s="109" t="s">
        <v>456</v>
      </c>
      <c r="B59" s="109" t="s">
        <v>457</v>
      </c>
      <c r="C59" s="106" t="s">
        <v>458</v>
      </c>
      <c r="D59" s="102"/>
      <c r="E59" s="102"/>
      <c r="F59" s="102"/>
      <c r="G59" s="102"/>
    </row>
    <row r="60" spans="1:7" ht="75" customHeight="1" x14ac:dyDescent="0.8">
      <c r="A60" s="109" t="s">
        <v>459</v>
      </c>
      <c r="B60" s="109" t="s">
        <v>460</v>
      </c>
      <c r="C60" s="106" t="s">
        <v>461</v>
      </c>
      <c r="D60" s="102">
        <v>1044</v>
      </c>
      <c r="E60" s="102"/>
      <c r="F60" s="102"/>
      <c r="G60" s="102"/>
    </row>
    <row r="61" spans="1:7" ht="75" hidden="1" customHeight="1" x14ac:dyDescent="0.8">
      <c r="A61" s="109" t="s">
        <v>462</v>
      </c>
      <c r="B61" s="109" t="s">
        <v>463</v>
      </c>
      <c r="C61" s="106" t="s">
        <v>464</v>
      </c>
      <c r="D61" s="102"/>
      <c r="E61" s="102"/>
      <c r="F61" s="102"/>
      <c r="G61" s="102"/>
    </row>
    <row r="62" spans="1:7" ht="75" hidden="1" customHeight="1" x14ac:dyDescent="0.8">
      <c r="A62" s="109" t="s">
        <v>467</v>
      </c>
      <c r="B62" s="109" t="s">
        <v>468</v>
      </c>
      <c r="C62" s="106" t="s">
        <v>464</v>
      </c>
      <c r="D62" s="102"/>
      <c r="E62" s="102"/>
      <c r="F62" s="102"/>
      <c r="G62" s="102"/>
    </row>
    <row r="63" spans="1:7" ht="75" hidden="1" customHeight="1" x14ac:dyDescent="0.8">
      <c r="A63" s="109" t="s">
        <v>469</v>
      </c>
      <c r="B63" s="109" t="s">
        <v>470</v>
      </c>
      <c r="C63" s="106" t="s">
        <v>471</v>
      </c>
      <c r="D63" s="102"/>
      <c r="E63" s="102"/>
      <c r="F63" s="102"/>
      <c r="G63" s="102"/>
    </row>
    <row r="64" spans="1:7" ht="75" hidden="1" customHeight="1" x14ac:dyDescent="0.8">
      <c r="A64" s="109" t="s">
        <v>472</v>
      </c>
      <c r="B64" s="109" t="s">
        <v>473</v>
      </c>
      <c r="C64" s="106" t="s">
        <v>575</v>
      </c>
      <c r="D64" s="102"/>
      <c r="E64" s="102"/>
      <c r="F64" s="102"/>
      <c r="G64" s="102"/>
    </row>
    <row r="65" spans="1:18" ht="75" hidden="1" customHeight="1" x14ac:dyDescent="0.8">
      <c r="A65" s="109"/>
      <c r="B65" s="109" t="s">
        <v>474</v>
      </c>
      <c r="C65" s="106"/>
      <c r="D65" s="102"/>
      <c r="E65" s="102"/>
      <c r="F65" s="102"/>
      <c r="G65" s="102"/>
    </row>
    <row r="66" spans="1:18" s="78" customFormat="1" ht="75" hidden="1" customHeight="1" x14ac:dyDescent="0.8">
      <c r="A66" s="109" t="s">
        <v>475</v>
      </c>
      <c r="B66" s="105" t="s">
        <v>476</v>
      </c>
      <c r="C66" s="106" t="s">
        <v>477</v>
      </c>
      <c r="D66" s="113"/>
      <c r="E66" s="113"/>
      <c r="F66" s="113"/>
      <c r="G66" s="113"/>
    </row>
    <row r="67" spans="1:18" s="78" customFormat="1" ht="75" hidden="1" customHeight="1" x14ac:dyDescent="0.8">
      <c r="A67" s="109" t="s">
        <v>481</v>
      </c>
      <c r="B67" s="105" t="s">
        <v>482</v>
      </c>
      <c r="C67" s="106" t="s">
        <v>483</v>
      </c>
      <c r="D67" s="113"/>
      <c r="E67" s="113"/>
      <c r="F67" s="113"/>
      <c r="G67" s="113"/>
    </row>
    <row r="68" spans="1:18" s="78" customFormat="1" ht="75" hidden="1" customHeight="1" x14ac:dyDescent="0.8">
      <c r="A68" s="109" t="s">
        <v>486</v>
      </c>
      <c r="B68" s="105" t="s">
        <v>487</v>
      </c>
      <c r="C68" s="106"/>
      <c r="D68" s="113"/>
      <c r="E68" s="113"/>
      <c r="F68" s="113"/>
      <c r="G68" s="113"/>
    </row>
    <row r="69" spans="1:18" s="78" customFormat="1" ht="75" hidden="1" customHeight="1" x14ac:dyDescent="0.8">
      <c r="A69" s="109" t="s">
        <v>488</v>
      </c>
      <c r="B69" s="105" t="s">
        <v>489</v>
      </c>
      <c r="C69" s="106"/>
      <c r="D69" s="113"/>
      <c r="E69" s="113"/>
      <c r="F69" s="113"/>
      <c r="G69" s="113"/>
    </row>
    <row r="70" spans="1:18" s="78" customFormat="1" ht="75" hidden="1" customHeight="1" x14ac:dyDescent="0.8">
      <c r="A70" s="109" t="s">
        <v>490</v>
      </c>
      <c r="B70" s="105" t="s">
        <v>491</v>
      </c>
      <c r="C70" s="114"/>
      <c r="D70" s="113"/>
      <c r="E70" s="113"/>
      <c r="F70" s="113"/>
      <c r="G70" s="113"/>
    </row>
    <row r="71" spans="1:18" s="78" customFormat="1" ht="75" hidden="1" customHeight="1" x14ac:dyDescent="0.8">
      <c r="A71" s="109" t="s">
        <v>492</v>
      </c>
      <c r="B71" s="105" t="s">
        <v>493</v>
      </c>
      <c r="C71" s="106"/>
      <c r="D71" s="113"/>
      <c r="E71" s="113"/>
      <c r="F71" s="113"/>
      <c r="G71" s="113"/>
    </row>
    <row r="72" spans="1:18" s="78" customFormat="1" ht="75" hidden="1" customHeight="1" x14ac:dyDescent="0.8">
      <c r="A72" s="109"/>
      <c r="B72" s="105" t="s">
        <v>494</v>
      </c>
      <c r="C72" s="106"/>
      <c r="D72" s="113"/>
      <c r="E72" s="113"/>
      <c r="F72" s="113"/>
      <c r="G72" s="113"/>
    </row>
    <row r="73" spans="1:18" s="78" customFormat="1" ht="75" customHeight="1" x14ac:dyDescent="0.8">
      <c r="A73" s="109" t="s">
        <v>495</v>
      </c>
      <c r="B73" s="105" t="s">
        <v>496</v>
      </c>
      <c r="C73" s="106" t="s">
        <v>497</v>
      </c>
      <c r="D73" s="113">
        <v>670000</v>
      </c>
      <c r="E73" s="113"/>
      <c r="F73" s="113"/>
      <c r="G73" s="113"/>
    </row>
    <row r="74" spans="1:18" s="78" customFormat="1" ht="75" hidden="1" customHeight="1" x14ac:dyDescent="0.8">
      <c r="A74" s="109" t="s">
        <v>500</v>
      </c>
      <c r="B74" s="105" t="s">
        <v>501</v>
      </c>
      <c r="C74" s="106" t="s">
        <v>502</v>
      </c>
      <c r="D74" s="113"/>
      <c r="E74" s="113"/>
      <c r="F74" s="113"/>
      <c r="G74" s="113"/>
    </row>
    <row r="75" spans="1:18" s="38" customFormat="1" ht="75" hidden="1" customHeight="1" x14ac:dyDescent="0.8">
      <c r="A75" s="109" t="s">
        <v>505</v>
      </c>
      <c r="B75" s="109" t="s">
        <v>506</v>
      </c>
      <c r="C75" s="106" t="s">
        <v>507</v>
      </c>
      <c r="D75" s="102"/>
      <c r="E75" s="102"/>
      <c r="F75" s="102"/>
      <c r="G75" s="102"/>
      <c r="H75" s="9"/>
      <c r="I75" s="9"/>
      <c r="J75" s="9"/>
      <c r="K75" s="9"/>
      <c r="L75" s="9"/>
      <c r="M75" s="9"/>
      <c r="N75" s="9"/>
      <c r="O75" s="9"/>
      <c r="P75" s="9"/>
      <c r="Q75" s="9"/>
      <c r="R75" s="9"/>
    </row>
    <row r="76" spans="1:18" s="38" customFormat="1" ht="75" customHeight="1" x14ac:dyDescent="0.8">
      <c r="A76" s="109" t="s">
        <v>510</v>
      </c>
      <c r="B76" s="106" t="s">
        <v>511</v>
      </c>
      <c r="C76" s="106" t="s">
        <v>512</v>
      </c>
      <c r="D76" s="102"/>
      <c r="E76" s="102"/>
      <c r="F76" s="102"/>
      <c r="G76" s="102"/>
      <c r="H76" s="9"/>
      <c r="I76" s="9"/>
      <c r="J76" s="9"/>
      <c r="K76" s="9"/>
      <c r="L76" s="9"/>
      <c r="M76" s="9"/>
      <c r="N76" s="9"/>
      <c r="O76" s="9"/>
      <c r="P76" s="9"/>
      <c r="Q76" s="9"/>
      <c r="R76" s="9"/>
    </row>
    <row r="77" spans="1:18" s="38" customFormat="1" ht="75" customHeight="1" x14ac:dyDescent="0.8">
      <c r="A77" s="109" t="s">
        <v>513</v>
      </c>
      <c r="B77" s="109" t="s">
        <v>514</v>
      </c>
      <c r="C77" s="318" t="s">
        <v>515</v>
      </c>
      <c r="D77" s="102">
        <v>3500</v>
      </c>
      <c r="E77" s="102"/>
      <c r="F77" s="102"/>
      <c r="G77" s="102"/>
      <c r="H77" s="9"/>
      <c r="I77" s="9"/>
      <c r="J77" s="9"/>
      <c r="K77" s="9"/>
      <c r="L77" s="9"/>
      <c r="M77" s="9"/>
      <c r="N77" s="9"/>
      <c r="O77" s="9"/>
      <c r="P77" s="9"/>
      <c r="Q77" s="9"/>
      <c r="R77" s="9"/>
    </row>
    <row r="78" spans="1:18" s="38" customFormat="1" ht="75" customHeight="1" x14ac:dyDescent="0.8">
      <c r="A78" s="109" t="s">
        <v>518</v>
      </c>
      <c r="B78" s="106" t="s">
        <v>519</v>
      </c>
      <c r="C78" s="318"/>
      <c r="D78" s="102"/>
      <c r="E78" s="102"/>
      <c r="F78" s="102"/>
      <c r="G78" s="102"/>
      <c r="H78" s="9"/>
      <c r="I78" s="9"/>
      <c r="J78" s="9"/>
      <c r="K78" s="9"/>
      <c r="L78" s="9"/>
      <c r="M78" s="9"/>
      <c r="N78" s="9"/>
      <c r="O78" s="9"/>
      <c r="P78" s="9"/>
      <c r="Q78" s="9"/>
      <c r="R78" s="9"/>
    </row>
    <row r="79" spans="1:18" s="38" customFormat="1" ht="172.5" customHeight="1" x14ac:dyDescent="0.8">
      <c r="A79" s="109" t="s">
        <v>520</v>
      </c>
      <c r="B79" s="105" t="s">
        <v>521</v>
      </c>
      <c r="C79" s="106" t="s">
        <v>522</v>
      </c>
      <c r="D79" s="102"/>
      <c r="E79" s="102">
        <v>50000</v>
      </c>
      <c r="F79" s="102"/>
      <c r="G79" s="102"/>
      <c r="H79" s="9"/>
      <c r="I79" s="9"/>
      <c r="J79" s="9"/>
      <c r="K79" s="9"/>
      <c r="L79" s="9"/>
      <c r="M79" s="9"/>
      <c r="N79" s="9"/>
      <c r="O79" s="9"/>
      <c r="P79" s="9"/>
      <c r="Q79" s="9"/>
      <c r="R79" s="9"/>
    </row>
    <row r="80" spans="1:18" s="38" customFormat="1" ht="84.75" customHeight="1" x14ac:dyDescent="0.8">
      <c r="A80" s="109"/>
      <c r="B80" s="105" t="s">
        <v>576</v>
      </c>
      <c r="C80" s="106" t="s">
        <v>577</v>
      </c>
      <c r="D80" s="102"/>
      <c r="E80" s="102">
        <v>20000</v>
      </c>
      <c r="F80" s="102"/>
      <c r="G80" s="102"/>
      <c r="H80" s="9"/>
      <c r="I80" s="9"/>
      <c r="J80" s="9"/>
      <c r="K80" s="9"/>
      <c r="L80" s="9"/>
      <c r="M80" s="9"/>
      <c r="N80" s="9"/>
      <c r="O80" s="9"/>
      <c r="P80" s="9"/>
      <c r="Q80" s="9"/>
      <c r="R80" s="9"/>
    </row>
    <row r="81" spans="1:7" ht="75" customHeight="1" x14ac:dyDescent="0.8">
      <c r="A81" s="109" t="s">
        <v>524</v>
      </c>
      <c r="B81" s="106" t="s">
        <v>525</v>
      </c>
      <c r="C81" s="106" t="s">
        <v>578</v>
      </c>
      <c r="D81" s="102"/>
      <c r="E81" s="102">
        <v>40000</v>
      </c>
      <c r="F81" s="102"/>
      <c r="G81" s="102"/>
    </row>
    <row r="82" spans="1:7" ht="75" customHeight="1" x14ac:dyDescent="0.8">
      <c r="A82" s="109"/>
      <c r="B82" s="106" t="s">
        <v>579</v>
      </c>
      <c r="C82" s="106" t="s">
        <v>580</v>
      </c>
      <c r="D82" s="102"/>
      <c r="E82" s="102">
        <v>1000</v>
      </c>
      <c r="F82" s="102"/>
      <c r="G82" s="102"/>
    </row>
    <row r="83" spans="1:7" ht="75" hidden="1" customHeight="1" x14ac:dyDescent="1.1000000000000001">
      <c r="A83" s="109" t="s">
        <v>526</v>
      </c>
      <c r="B83" s="109" t="s">
        <v>527</v>
      </c>
      <c r="C83" s="87"/>
      <c r="D83" s="102"/>
      <c r="E83" s="102"/>
      <c r="F83" s="102"/>
      <c r="G83" s="102"/>
    </row>
    <row r="84" spans="1:7" ht="75" customHeight="1" x14ac:dyDescent="0.8">
      <c r="A84" s="109"/>
      <c r="B84" s="109" t="s">
        <v>581</v>
      </c>
      <c r="C84" s="112" t="s">
        <v>582</v>
      </c>
      <c r="D84" s="102"/>
      <c r="E84" s="102"/>
      <c r="F84" s="102">
        <v>10000</v>
      </c>
      <c r="G84" s="102"/>
    </row>
    <row r="85" spans="1:7" ht="75" customHeight="1" x14ac:dyDescent="0.8">
      <c r="A85" s="109"/>
      <c r="B85" s="106" t="s">
        <v>583</v>
      </c>
      <c r="C85" s="106" t="s">
        <v>584</v>
      </c>
      <c r="D85" s="102"/>
      <c r="E85" s="102">
        <v>1000</v>
      </c>
      <c r="F85" s="102"/>
      <c r="G85" s="102"/>
    </row>
    <row r="86" spans="1:7" ht="75" hidden="1" customHeight="1" x14ac:dyDescent="0.8">
      <c r="A86" s="315" t="s">
        <v>528</v>
      </c>
      <c r="B86" s="315"/>
      <c r="C86" s="315"/>
      <c r="D86" s="102"/>
      <c r="E86" s="102"/>
      <c r="F86" s="102"/>
      <c r="G86" s="102"/>
    </row>
    <row r="87" spans="1:7" s="8" customFormat="1" ht="75" hidden="1" customHeight="1" x14ac:dyDescent="0.8">
      <c r="A87" s="110">
        <v>3.2</v>
      </c>
      <c r="B87" s="316" t="s">
        <v>529</v>
      </c>
      <c r="C87" s="316"/>
      <c r="D87" s="102"/>
      <c r="E87" s="102"/>
      <c r="F87" s="102"/>
      <c r="G87" s="102"/>
    </row>
    <row r="88" spans="1:7" ht="75" hidden="1" customHeight="1" x14ac:dyDescent="1.1000000000000001">
      <c r="A88" s="109" t="s">
        <v>530</v>
      </c>
      <c r="B88" s="109" t="s">
        <v>531</v>
      </c>
      <c r="C88" s="115" t="s">
        <v>532</v>
      </c>
      <c r="D88" s="102"/>
      <c r="E88" s="102"/>
      <c r="F88" s="102"/>
      <c r="G88" s="102"/>
    </row>
    <row r="89" spans="1:7" ht="75" hidden="1" customHeight="1" x14ac:dyDescent="0.8">
      <c r="A89" s="109" t="s">
        <v>535</v>
      </c>
      <c r="B89" s="106" t="s">
        <v>536</v>
      </c>
      <c r="C89" s="105" t="s">
        <v>537</v>
      </c>
      <c r="D89" s="102"/>
      <c r="E89" s="102"/>
      <c r="F89" s="102"/>
      <c r="G89" s="102"/>
    </row>
    <row r="90" spans="1:7" ht="63.75" hidden="1" customHeight="1" x14ac:dyDescent="1.1000000000000001">
      <c r="A90" s="109" t="s">
        <v>538</v>
      </c>
      <c r="B90" s="105" t="s">
        <v>539</v>
      </c>
      <c r="C90" s="115" t="s">
        <v>540</v>
      </c>
      <c r="D90" s="102"/>
      <c r="E90" s="102"/>
      <c r="F90" s="102"/>
      <c r="G90" s="102"/>
    </row>
    <row r="91" spans="1:7" ht="63.75" customHeight="1" x14ac:dyDescent="0.8">
      <c r="A91" s="109" t="s">
        <v>541</v>
      </c>
      <c r="B91" s="106" t="s">
        <v>542</v>
      </c>
      <c r="C91" s="105" t="s">
        <v>543</v>
      </c>
      <c r="D91" s="102"/>
      <c r="E91" s="102"/>
      <c r="F91" s="102"/>
      <c r="G91" s="102"/>
    </row>
    <row r="92" spans="1:7" ht="63.75" hidden="1" customHeight="1" x14ac:dyDescent="0.8">
      <c r="A92" s="109" t="s">
        <v>547</v>
      </c>
      <c r="B92" s="106" t="s">
        <v>548</v>
      </c>
      <c r="C92" s="106" t="s">
        <v>549</v>
      </c>
      <c r="D92" s="102"/>
      <c r="E92" s="102"/>
      <c r="F92" s="102"/>
      <c r="G92" s="102"/>
    </row>
    <row r="93" spans="1:7" ht="63.75" hidden="1" customHeight="1" x14ac:dyDescent="0.8">
      <c r="A93" s="109" t="s">
        <v>552</v>
      </c>
      <c r="B93" s="106" t="s">
        <v>553</v>
      </c>
      <c r="C93" s="106" t="s">
        <v>554</v>
      </c>
      <c r="D93" s="102"/>
      <c r="E93" s="102"/>
      <c r="F93" s="102"/>
      <c r="G93" s="102"/>
    </row>
    <row r="94" spans="1:7" s="53" customFormat="1" ht="56.25" customHeight="1" x14ac:dyDescent="0.8">
      <c r="A94" s="317" t="s">
        <v>585</v>
      </c>
      <c r="B94" s="317"/>
      <c r="C94" s="317"/>
      <c r="D94" s="102">
        <f>SUM(D7:D93)</f>
        <v>1173369</v>
      </c>
      <c r="E94" s="102">
        <f>SUM(E7:E93)</f>
        <v>179200</v>
      </c>
      <c r="F94" s="102">
        <f>SUM(F7:F93)</f>
        <v>10000</v>
      </c>
      <c r="G94" s="102">
        <f>SUM(G7:G93)</f>
        <v>11000</v>
      </c>
    </row>
    <row r="95" spans="1:7" ht="75" customHeight="1" x14ac:dyDescent="0.8">
      <c r="E95" s="53"/>
    </row>
  </sheetData>
  <mergeCells count="27">
    <mergeCell ref="A1:C1"/>
    <mergeCell ref="A2:C2"/>
    <mergeCell ref="A3:C3"/>
    <mergeCell ref="A4:A5"/>
    <mergeCell ref="B4:B5"/>
    <mergeCell ref="C4:C5"/>
    <mergeCell ref="B44:C44"/>
    <mergeCell ref="D4:D5"/>
    <mergeCell ref="E4:E5"/>
    <mergeCell ref="F4:F5"/>
    <mergeCell ref="G4:G5"/>
    <mergeCell ref="B6:G6"/>
    <mergeCell ref="A19:C19"/>
    <mergeCell ref="A20:C20"/>
    <mergeCell ref="B21:C21"/>
    <mergeCell ref="A34:C34"/>
    <mergeCell ref="B35:C35"/>
    <mergeCell ref="A43:C43"/>
    <mergeCell ref="A86:C86"/>
    <mergeCell ref="B87:C87"/>
    <mergeCell ref="A94:C94"/>
    <mergeCell ref="B45:B47"/>
    <mergeCell ref="A49:C49"/>
    <mergeCell ref="A50:C50"/>
    <mergeCell ref="A51:C51"/>
    <mergeCell ref="B52:C52"/>
    <mergeCell ref="C77:C78"/>
  </mergeCells>
  <printOptions horizontalCentered="1" verticalCentered="1"/>
  <pageMargins left="0" right="0" top="0.25" bottom="0.25" header="0.5" footer="0.5"/>
  <pageSetup paperSize="9" scale="45" orientation="portrait"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6249E0-8809-4660-890D-4FCFC81D9227}">
  <sheetPr>
    <tabColor theme="5" tint="-0.249977111117893"/>
  </sheetPr>
  <dimension ref="A1:BH185"/>
  <sheetViews>
    <sheetView topLeftCell="A4" zoomScale="48" zoomScaleNormal="48" workbookViewId="0">
      <selection activeCell="AX11" sqref="AX11"/>
    </sheetView>
  </sheetViews>
  <sheetFormatPr defaultColWidth="18.125" defaultRowHeight="27" x14ac:dyDescent="0.8"/>
  <cols>
    <col min="1" max="1" width="15" style="9" customWidth="1"/>
    <col min="2" max="2" width="62.75" style="9" customWidth="1"/>
    <col min="3" max="3" width="59.75" style="9" hidden="1" customWidth="1"/>
    <col min="4" max="4" width="65" style="9" hidden="1" customWidth="1"/>
    <col min="5" max="5" width="49.125" style="9" hidden="1" customWidth="1"/>
    <col min="6" max="6" width="48.5" style="9" hidden="1" customWidth="1"/>
    <col min="7" max="7" width="20.625" style="9" hidden="1" customWidth="1"/>
    <col min="8" max="8" width="19.875" style="9" customWidth="1"/>
    <col min="9" max="9" width="14" style="9" hidden="1" customWidth="1"/>
    <col min="10" max="10" width="18.75" style="9" hidden="1" customWidth="1"/>
    <col min="11" max="11" width="15.625" style="9" hidden="1" customWidth="1"/>
    <col min="12" max="12" width="16.625" style="9" hidden="1" customWidth="1"/>
    <col min="13" max="13" width="19.125" style="9" hidden="1" customWidth="1"/>
    <col min="14" max="14" width="16.5" style="96" hidden="1" customWidth="1"/>
    <col min="15" max="15" width="16.375" style="9" hidden="1" customWidth="1"/>
    <col min="16" max="16" width="5.25" style="9" hidden="1" customWidth="1"/>
    <col min="17" max="17" width="19.875" style="9" customWidth="1"/>
    <col min="18" max="18" width="15.375" style="38" customWidth="1"/>
    <col min="19" max="19" width="18.125" style="38" customWidth="1"/>
    <col min="20" max="20" width="13.875" style="38" customWidth="1"/>
    <col min="21" max="22" width="14.25" style="38" customWidth="1"/>
    <col min="23" max="23" width="16.75" style="38" customWidth="1"/>
    <col min="24" max="24" width="16.875" style="38" hidden="1" customWidth="1"/>
    <col min="25" max="25" width="17.625" style="38" customWidth="1"/>
    <col min="26" max="26" width="15.375" style="38" customWidth="1"/>
    <col min="27" max="27" width="15" style="38" customWidth="1"/>
    <col min="28" max="29" width="18.625" style="38" customWidth="1"/>
    <col min="30" max="30" width="13.625" style="38" bestFit="1" customWidth="1"/>
    <col min="31" max="31" width="22.75" style="38" customWidth="1"/>
    <col min="32" max="32" width="23" style="98" customWidth="1"/>
    <col min="33" max="33" width="20.875" style="38" hidden="1" customWidth="1"/>
    <col min="34" max="34" width="28.625" style="38" hidden="1" customWidth="1"/>
    <col min="35" max="35" width="24.875" style="38" hidden="1" customWidth="1"/>
    <col min="36" max="36" width="21.375" style="9" hidden="1" customWidth="1"/>
    <col min="37" max="37" width="21.375" style="8" hidden="1" customWidth="1"/>
    <col min="38" max="38" width="20.75" style="8" hidden="1" customWidth="1"/>
    <col min="39" max="39" width="22.125" style="8" hidden="1" customWidth="1"/>
    <col min="40" max="40" width="21.125" style="8" hidden="1" customWidth="1"/>
    <col min="41" max="41" width="23.875" style="8" hidden="1" customWidth="1"/>
    <col min="42" max="42" width="3.625" style="9" hidden="1" customWidth="1"/>
    <col min="43" max="43" width="29.25" style="262" hidden="1" customWidth="1"/>
    <col min="44" max="44" width="61.375" style="262" hidden="1" customWidth="1"/>
    <col min="45" max="45" width="0" style="262" hidden="1" customWidth="1"/>
    <col min="46" max="46" width="28.875" style="9" customWidth="1"/>
    <col min="47" max="47" width="1.625" style="9" customWidth="1"/>
    <col min="48" max="16384" width="18.125" style="9"/>
  </cols>
  <sheetData>
    <row r="1" spans="1:57" ht="32.25" customHeight="1" x14ac:dyDescent="0.8">
      <c r="A1" s="338" t="s">
        <v>232</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Q1" s="301"/>
    </row>
    <row r="2" spans="1:57" ht="45" customHeight="1" x14ac:dyDescent="0.85">
      <c r="A2" s="323" t="s">
        <v>233</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10"/>
      <c r="AL2" s="10"/>
      <c r="AM2" s="10"/>
      <c r="AN2" s="10"/>
      <c r="AO2" s="10"/>
      <c r="AP2" s="11"/>
      <c r="AQ2" s="300"/>
    </row>
    <row r="3" spans="1:57" ht="45" customHeight="1" x14ac:dyDescent="0.85">
      <c r="A3" s="324" t="s">
        <v>234</v>
      </c>
      <c r="B3" s="324"/>
      <c r="C3" s="324"/>
      <c r="D3" s="324"/>
      <c r="E3" s="324"/>
      <c r="F3" s="324"/>
      <c r="G3" s="324"/>
      <c r="H3" s="324"/>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10"/>
      <c r="AL3" s="10"/>
      <c r="AM3" s="10"/>
      <c r="AN3" s="10"/>
      <c r="AO3" s="10"/>
      <c r="AP3" s="11"/>
      <c r="AQ3" s="300"/>
    </row>
    <row r="4" spans="1:57" ht="159.75" customHeight="1" x14ac:dyDescent="0.8">
      <c r="A4" s="329" t="s">
        <v>235</v>
      </c>
      <c r="B4" s="329" t="s">
        <v>236</v>
      </c>
      <c r="C4" s="340" t="s">
        <v>237</v>
      </c>
      <c r="D4" s="340" t="s">
        <v>238</v>
      </c>
      <c r="E4" s="340" t="s">
        <v>239</v>
      </c>
      <c r="F4" s="340" t="s">
        <v>2</v>
      </c>
      <c r="G4" s="340" t="s">
        <v>240</v>
      </c>
      <c r="H4" s="329" t="s">
        <v>241</v>
      </c>
      <c r="I4" s="12">
        <v>2017</v>
      </c>
      <c r="J4" s="13" t="s">
        <v>242</v>
      </c>
      <c r="K4" s="13" t="s">
        <v>243</v>
      </c>
      <c r="L4" s="13" t="s">
        <v>244</v>
      </c>
      <c r="M4" s="13" t="s">
        <v>245</v>
      </c>
      <c r="N4" s="13" t="s">
        <v>246</v>
      </c>
      <c r="O4" s="249" t="s">
        <v>247</v>
      </c>
      <c r="P4" s="249" t="s">
        <v>248</v>
      </c>
      <c r="Q4" s="14" t="s">
        <v>249</v>
      </c>
      <c r="R4" s="247" t="s">
        <v>250</v>
      </c>
      <c r="S4" s="249" t="s">
        <v>251</v>
      </c>
      <c r="T4" s="247" t="s">
        <v>252</v>
      </c>
      <c r="U4" s="247" t="s">
        <v>253</v>
      </c>
      <c r="V4" s="247" t="s">
        <v>254</v>
      </c>
      <c r="W4" s="249" t="s">
        <v>255</v>
      </c>
      <c r="X4" s="13" t="s">
        <v>256</v>
      </c>
      <c r="Y4" s="249" t="s">
        <v>257</v>
      </c>
      <c r="Z4" s="247" t="s">
        <v>258</v>
      </c>
      <c r="AA4" s="247" t="s">
        <v>604</v>
      </c>
      <c r="AB4" s="15" t="s">
        <v>605</v>
      </c>
      <c r="AC4" s="247" t="s">
        <v>606</v>
      </c>
      <c r="AD4" s="247" t="s">
        <v>641</v>
      </c>
      <c r="AE4" s="15" t="s">
        <v>640</v>
      </c>
      <c r="AF4" s="16" t="s">
        <v>639</v>
      </c>
      <c r="AG4" s="16" t="s">
        <v>259</v>
      </c>
      <c r="AH4" s="16" t="s">
        <v>260</v>
      </c>
      <c r="AI4" s="16" t="s">
        <v>260</v>
      </c>
      <c r="AJ4" s="249" t="s">
        <v>261</v>
      </c>
      <c r="AK4" s="249" t="s">
        <v>262</v>
      </c>
      <c r="AL4" s="249" t="s">
        <v>263</v>
      </c>
      <c r="AM4" s="249" t="s">
        <v>264</v>
      </c>
      <c r="AN4" s="249" t="s">
        <v>265</v>
      </c>
      <c r="AO4" s="249" t="s">
        <v>266</v>
      </c>
      <c r="AP4" s="247" t="s">
        <v>267</v>
      </c>
      <c r="AQ4" s="299" t="s">
        <v>608</v>
      </c>
    </row>
    <row r="5" spans="1:57" ht="45" customHeight="1" x14ac:dyDescent="0.8">
      <c r="A5" s="330"/>
      <c r="B5" s="330"/>
      <c r="C5" s="341"/>
      <c r="D5" s="341"/>
      <c r="E5" s="341"/>
      <c r="F5" s="341"/>
      <c r="G5" s="341"/>
      <c r="H5" s="330"/>
      <c r="I5" s="12" t="s">
        <v>268</v>
      </c>
      <c r="J5" s="17" t="s">
        <v>268</v>
      </c>
      <c r="K5" s="13" t="s">
        <v>268</v>
      </c>
      <c r="L5" s="13" t="s">
        <v>268</v>
      </c>
      <c r="M5" s="13" t="s">
        <v>268</v>
      </c>
      <c r="N5" s="13" t="s">
        <v>268</v>
      </c>
      <c r="O5" s="13" t="s">
        <v>268</v>
      </c>
      <c r="P5" s="13" t="s">
        <v>268</v>
      </c>
      <c r="Q5" s="13" t="s">
        <v>268</v>
      </c>
      <c r="R5" s="249" t="s">
        <v>268</v>
      </c>
      <c r="S5" s="13" t="s">
        <v>268</v>
      </c>
      <c r="T5" s="249" t="s">
        <v>268</v>
      </c>
      <c r="U5" s="247" t="s">
        <v>268</v>
      </c>
      <c r="V5" s="247" t="s">
        <v>268</v>
      </c>
      <c r="W5" s="247" t="s">
        <v>268</v>
      </c>
      <c r="X5" s="247" t="s">
        <v>268</v>
      </c>
      <c r="Y5" s="247" t="s">
        <v>268</v>
      </c>
      <c r="Z5" s="247" t="s">
        <v>268</v>
      </c>
      <c r="AA5" s="249" t="s">
        <v>269</v>
      </c>
      <c r="AB5" s="249" t="s">
        <v>268</v>
      </c>
      <c r="AC5" s="249" t="s">
        <v>268</v>
      </c>
      <c r="AD5" s="249" t="s">
        <v>268</v>
      </c>
      <c r="AE5" s="249" t="s">
        <v>268</v>
      </c>
      <c r="AF5" s="249" t="s">
        <v>270</v>
      </c>
      <c r="AG5" s="249" t="s">
        <v>270</v>
      </c>
      <c r="AH5" s="249" t="s">
        <v>271</v>
      </c>
      <c r="AI5" s="249" t="s">
        <v>272</v>
      </c>
      <c r="AJ5" s="249" t="s">
        <v>271</v>
      </c>
      <c r="AK5" s="247" t="s">
        <v>271</v>
      </c>
      <c r="AL5" s="247" t="s">
        <v>271</v>
      </c>
      <c r="AM5" s="247" t="s">
        <v>271</v>
      </c>
      <c r="AN5" s="247" t="s">
        <v>271</v>
      </c>
      <c r="AO5" s="247" t="s">
        <v>271</v>
      </c>
      <c r="AP5" s="247" t="s">
        <v>271</v>
      </c>
      <c r="AQ5" s="298" t="s">
        <v>271</v>
      </c>
    </row>
    <row r="6" spans="1:57" ht="45" customHeight="1" x14ac:dyDescent="0.8">
      <c r="A6" s="248">
        <v>1.1000000000000001</v>
      </c>
      <c r="B6" s="178" t="s">
        <v>273</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9"/>
      <c r="AL6" s="19"/>
      <c r="AM6" s="19"/>
      <c r="AN6" s="19"/>
      <c r="AO6" s="19"/>
      <c r="AP6" s="20"/>
      <c r="AQ6" s="292"/>
    </row>
    <row r="7" spans="1:57" ht="45" customHeight="1" x14ac:dyDescent="1.1000000000000001">
      <c r="A7" s="179" t="s">
        <v>274</v>
      </c>
      <c r="B7" s="180" t="s">
        <v>275</v>
      </c>
      <c r="C7" s="181" t="s">
        <v>276</v>
      </c>
      <c r="D7" s="181" t="s">
        <v>277</v>
      </c>
      <c r="E7" s="181" t="s">
        <v>278</v>
      </c>
      <c r="F7" s="182" t="s">
        <v>279</v>
      </c>
      <c r="G7" s="182" t="s">
        <v>280</v>
      </c>
      <c r="H7" s="183">
        <v>22928.5569639241</v>
      </c>
      <c r="I7" s="184">
        <v>0</v>
      </c>
      <c r="J7" s="184">
        <v>0</v>
      </c>
      <c r="K7" s="184">
        <v>0</v>
      </c>
      <c r="L7" s="184">
        <v>12278.556963924098</v>
      </c>
      <c r="M7" s="184">
        <v>0</v>
      </c>
      <c r="N7" s="184">
        <f t="shared" ref="N7:N16" si="0">SUM(J7:M7)</f>
        <v>12278.556963924098</v>
      </c>
      <c r="O7" s="184">
        <v>0</v>
      </c>
      <c r="P7" s="184">
        <v>0</v>
      </c>
      <c r="Q7" s="184">
        <v>0</v>
      </c>
      <c r="R7" s="184">
        <v>0</v>
      </c>
      <c r="S7" s="184">
        <f t="shared" ref="S7:S16" si="1">Q7+R7</f>
        <v>0</v>
      </c>
      <c r="T7" s="184">
        <v>0</v>
      </c>
      <c r="U7" s="184">
        <v>0</v>
      </c>
      <c r="V7" s="184">
        <v>0</v>
      </c>
      <c r="W7" s="184">
        <f t="shared" ref="W7:W16" si="2">T7+U7+V7</f>
        <v>0</v>
      </c>
      <c r="X7" s="185">
        <f t="shared" ref="X7:X16" si="3">W7+S7+P7+O7</f>
        <v>0</v>
      </c>
      <c r="Y7" s="184">
        <v>0</v>
      </c>
      <c r="Z7" s="184">
        <v>0</v>
      </c>
      <c r="AA7" s="184"/>
      <c r="AB7" s="184">
        <f t="shared" ref="AB7:AB16" si="4">Y7+Z7+AA7</f>
        <v>0</v>
      </c>
      <c r="AC7" s="184"/>
      <c r="AD7" s="184"/>
      <c r="AE7" s="184">
        <f t="shared" ref="AE7:AE16" si="5">I7+N7+X7+AB7+AC7+AD7</f>
        <v>12278.556963924098</v>
      </c>
      <c r="AF7" s="184">
        <f t="shared" ref="AF7:AF16" si="6">H7-(I7+N7+X7+AB7+AC7+AD7)</f>
        <v>10650.000000000002</v>
      </c>
      <c r="AG7" s="184">
        <v>10650</v>
      </c>
      <c r="AH7" s="21">
        <v>10650</v>
      </c>
      <c r="AI7" s="22">
        <v>10650</v>
      </c>
      <c r="AJ7" s="22"/>
      <c r="AK7" s="23">
        <v>10650</v>
      </c>
      <c r="AL7" s="23"/>
      <c r="AM7" s="23"/>
      <c r="AN7" s="23"/>
      <c r="AO7" s="23"/>
      <c r="AP7" s="24">
        <f t="shared" ref="AP7:AP16" si="7">AJ7+AK7+AL7+AM7+AN7+AO7</f>
        <v>10650</v>
      </c>
      <c r="AQ7" s="275">
        <f>10650-2000-5100+3550</f>
        <v>7100</v>
      </c>
      <c r="AR7" s="262" t="s">
        <v>609</v>
      </c>
      <c r="AS7" s="297">
        <f>AF7-AQ7</f>
        <v>3550.0000000000018</v>
      </c>
    </row>
    <row r="8" spans="1:57" ht="45" customHeight="1" x14ac:dyDescent="1.1000000000000001">
      <c r="A8" s="179" t="s">
        <v>281</v>
      </c>
      <c r="B8" s="180" t="s">
        <v>282</v>
      </c>
      <c r="C8" s="181" t="s">
        <v>276</v>
      </c>
      <c r="D8" s="181" t="s">
        <v>283</v>
      </c>
      <c r="E8" s="181" t="s">
        <v>278</v>
      </c>
      <c r="F8" s="186" t="s">
        <v>284</v>
      </c>
      <c r="G8" s="186" t="s">
        <v>280</v>
      </c>
      <c r="H8" s="183">
        <v>7941</v>
      </c>
      <c r="I8" s="187">
        <v>0</v>
      </c>
      <c r="J8" s="184">
        <v>0</v>
      </c>
      <c r="K8" s="184">
        <v>0</v>
      </c>
      <c r="L8" s="184">
        <v>0</v>
      </c>
      <c r="M8" s="184">
        <v>0</v>
      </c>
      <c r="N8" s="184">
        <f t="shared" si="0"/>
        <v>0</v>
      </c>
      <c r="O8" s="188"/>
      <c r="P8" s="189"/>
      <c r="Q8" s="190"/>
      <c r="R8" s="184">
        <v>7941</v>
      </c>
      <c r="S8" s="184">
        <f t="shared" si="1"/>
        <v>7941</v>
      </c>
      <c r="T8" s="184"/>
      <c r="U8" s="184"/>
      <c r="V8" s="184"/>
      <c r="W8" s="184">
        <f t="shared" si="2"/>
        <v>0</v>
      </c>
      <c r="X8" s="185">
        <f t="shared" si="3"/>
        <v>7941</v>
      </c>
      <c r="Y8" s="184">
        <v>0</v>
      </c>
      <c r="Z8" s="184">
        <v>0</v>
      </c>
      <c r="AA8" s="184"/>
      <c r="AB8" s="184">
        <f t="shared" si="4"/>
        <v>0</v>
      </c>
      <c r="AC8" s="184"/>
      <c r="AD8" s="184"/>
      <c r="AE8" s="184">
        <f t="shared" si="5"/>
        <v>7941</v>
      </c>
      <c r="AF8" s="184">
        <f t="shared" si="6"/>
        <v>0</v>
      </c>
      <c r="AG8" s="184"/>
      <c r="AH8" s="25"/>
      <c r="AI8" s="25"/>
      <c r="AJ8" s="25"/>
      <c r="AK8" s="23"/>
      <c r="AL8" s="23"/>
      <c r="AM8" s="23"/>
      <c r="AN8" s="23"/>
      <c r="AO8" s="23"/>
      <c r="AP8" s="24">
        <f t="shared" si="7"/>
        <v>0</v>
      </c>
      <c r="AQ8" s="274"/>
    </row>
    <row r="9" spans="1:57" ht="45" customHeight="1" x14ac:dyDescent="1.1000000000000001">
      <c r="A9" s="179" t="s">
        <v>285</v>
      </c>
      <c r="B9" s="180" t="s">
        <v>286</v>
      </c>
      <c r="C9" s="181" t="s">
        <v>287</v>
      </c>
      <c r="D9" s="181" t="s">
        <v>283</v>
      </c>
      <c r="E9" s="181" t="s">
        <v>288</v>
      </c>
      <c r="F9" s="182" t="s">
        <v>289</v>
      </c>
      <c r="G9" s="182" t="s">
        <v>290</v>
      </c>
      <c r="H9" s="183">
        <v>28592.584114602865</v>
      </c>
      <c r="I9" s="187">
        <v>0</v>
      </c>
      <c r="J9" s="184">
        <v>0</v>
      </c>
      <c r="K9" s="184">
        <v>0</v>
      </c>
      <c r="L9" s="184">
        <v>1980.9172729318234</v>
      </c>
      <c r="M9" s="184">
        <v>123.66684167104178</v>
      </c>
      <c r="N9" s="184">
        <f t="shared" si="0"/>
        <v>2104.5841146028652</v>
      </c>
      <c r="O9" s="188">
        <v>19387</v>
      </c>
      <c r="P9" s="189">
        <v>2101</v>
      </c>
      <c r="Q9" s="191"/>
      <c r="R9" s="184"/>
      <c r="S9" s="184">
        <f t="shared" si="1"/>
        <v>0</v>
      </c>
      <c r="T9" s="184"/>
      <c r="U9" s="184"/>
      <c r="V9" s="184"/>
      <c r="W9" s="184">
        <f t="shared" si="2"/>
        <v>0</v>
      </c>
      <c r="X9" s="185">
        <f t="shared" si="3"/>
        <v>21488</v>
      </c>
      <c r="Y9" s="184">
        <v>0</v>
      </c>
      <c r="Z9" s="184">
        <v>0</v>
      </c>
      <c r="AA9" s="184"/>
      <c r="AB9" s="184">
        <f t="shared" si="4"/>
        <v>0</v>
      </c>
      <c r="AC9" s="184"/>
      <c r="AD9" s="184"/>
      <c r="AE9" s="184">
        <f t="shared" si="5"/>
        <v>23592.584114602865</v>
      </c>
      <c r="AF9" s="184">
        <f t="shared" si="6"/>
        <v>5000</v>
      </c>
      <c r="AG9" s="184">
        <v>5000</v>
      </c>
      <c r="AH9" s="21">
        <v>5000</v>
      </c>
      <c r="AI9" s="25">
        <v>5000</v>
      </c>
      <c r="AJ9" s="25"/>
      <c r="AK9" s="23">
        <v>2500</v>
      </c>
      <c r="AL9" s="23">
        <v>2500</v>
      </c>
      <c r="AM9" s="23"/>
      <c r="AN9" s="23"/>
      <c r="AO9" s="23"/>
      <c r="AP9" s="24">
        <f t="shared" si="7"/>
        <v>5000</v>
      </c>
      <c r="AQ9" s="274">
        <v>5000</v>
      </c>
    </row>
    <row r="10" spans="1:57" ht="45" customHeight="1" x14ac:dyDescent="1.1000000000000001">
      <c r="A10" s="179" t="s">
        <v>291</v>
      </c>
      <c r="B10" s="180" t="s">
        <v>292</v>
      </c>
      <c r="C10" s="181" t="s">
        <v>287</v>
      </c>
      <c r="D10" s="181" t="s">
        <v>283</v>
      </c>
      <c r="E10" s="181" t="s">
        <v>288</v>
      </c>
      <c r="F10" s="182" t="s">
        <v>293</v>
      </c>
      <c r="G10" s="182" t="s">
        <v>290</v>
      </c>
      <c r="H10" s="183">
        <v>0</v>
      </c>
      <c r="I10" s="187">
        <v>0</v>
      </c>
      <c r="J10" s="184">
        <v>0</v>
      </c>
      <c r="K10" s="184">
        <v>0</v>
      </c>
      <c r="L10" s="184">
        <v>0</v>
      </c>
      <c r="M10" s="184">
        <v>0</v>
      </c>
      <c r="N10" s="184">
        <f t="shared" si="0"/>
        <v>0</v>
      </c>
      <c r="O10" s="188"/>
      <c r="P10" s="189"/>
      <c r="Q10" s="190"/>
      <c r="R10" s="184"/>
      <c r="S10" s="184">
        <f t="shared" si="1"/>
        <v>0</v>
      </c>
      <c r="T10" s="184"/>
      <c r="U10" s="184"/>
      <c r="V10" s="184"/>
      <c r="W10" s="184">
        <f t="shared" si="2"/>
        <v>0</v>
      </c>
      <c r="X10" s="185">
        <f t="shared" si="3"/>
        <v>0</v>
      </c>
      <c r="Y10" s="184">
        <v>0</v>
      </c>
      <c r="Z10" s="184">
        <v>0</v>
      </c>
      <c r="AA10" s="184"/>
      <c r="AB10" s="184">
        <f t="shared" si="4"/>
        <v>0</v>
      </c>
      <c r="AC10" s="184"/>
      <c r="AD10" s="184"/>
      <c r="AE10" s="184">
        <f t="shared" si="5"/>
        <v>0</v>
      </c>
      <c r="AF10" s="184">
        <f t="shared" si="6"/>
        <v>0</v>
      </c>
      <c r="AG10" s="184"/>
      <c r="AH10" s="25"/>
      <c r="AI10" s="26"/>
      <c r="AJ10" s="25"/>
      <c r="AK10" s="23"/>
      <c r="AL10" s="23"/>
      <c r="AM10" s="23"/>
      <c r="AN10" s="23"/>
      <c r="AO10" s="23"/>
      <c r="AP10" s="24">
        <f t="shared" si="7"/>
        <v>0</v>
      </c>
      <c r="AQ10" s="274"/>
    </row>
    <row r="11" spans="1:57" ht="45" customHeight="1" x14ac:dyDescent="1.1000000000000001">
      <c r="A11" s="179" t="s">
        <v>294</v>
      </c>
      <c r="B11" s="192" t="s">
        <v>295</v>
      </c>
      <c r="C11" s="193" t="s">
        <v>296</v>
      </c>
      <c r="D11" s="181" t="s">
        <v>283</v>
      </c>
      <c r="E11" s="181" t="s">
        <v>288</v>
      </c>
      <c r="F11" s="182" t="s">
        <v>289</v>
      </c>
      <c r="G11" s="182" t="s">
        <v>297</v>
      </c>
      <c r="H11" s="183">
        <v>6815.1015525388138</v>
      </c>
      <c r="I11" s="187">
        <v>0</v>
      </c>
      <c r="J11" s="184">
        <v>0</v>
      </c>
      <c r="K11" s="184">
        <v>0</v>
      </c>
      <c r="L11" s="184">
        <v>0</v>
      </c>
      <c r="M11" s="184">
        <v>4062.1015525388134</v>
      </c>
      <c r="N11" s="184">
        <f t="shared" si="0"/>
        <v>4062.1015525388134</v>
      </c>
      <c r="O11" s="188">
        <v>2753</v>
      </c>
      <c r="P11" s="189"/>
      <c r="Q11" s="194"/>
      <c r="R11" s="184"/>
      <c r="S11" s="184">
        <f t="shared" si="1"/>
        <v>0</v>
      </c>
      <c r="T11" s="184"/>
      <c r="U11" s="184"/>
      <c r="V11" s="184"/>
      <c r="W11" s="184">
        <f t="shared" si="2"/>
        <v>0</v>
      </c>
      <c r="X11" s="185">
        <f t="shared" si="3"/>
        <v>2753</v>
      </c>
      <c r="Y11" s="184">
        <v>0</v>
      </c>
      <c r="Z11" s="184">
        <v>0</v>
      </c>
      <c r="AA11" s="184"/>
      <c r="AB11" s="184">
        <f t="shared" si="4"/>
        <v>0</v>
      </c>
      <c r="AC11" s="184"/>
      <c r="AD11" s="184"/>
      <c r="AE11" s="184">
        <f t="shared" si="5"/>
        <v>6815.1015525388138</v>
      </c>
      <c r="AF11" s="184">
        <f t="shared" si="6"/>
        <v>0</v>
      </c>
      <c r="AG11" s="184"/>
      <c r="AH11" s="25"/>
      <c r="AI11" s="25"/>
      <c r="AJ11" s="25"/>
      <c r="AK11" s="23"/>
      <c r="AL11" s="23"/>
      <c r="AM11" s="23"/>
      <c r="AN11" s="23"/>
      <c r="AO11" s="23"/>
      <c r="AP11" s="24">
        <f t="shared" si="7"/>
        <v>0</v>
      </c>
      <c r="AQ11" s="274"/>
    </row>
    <row r="12" spans="1:57" ht="45" customHeight="1" x14ac:dyDescent="0.8">
      <c r="A12" s="179" t="s">
        <v>298</v>
      </c>
      <c r="B12" s="192" t="s">
        <v>299</v>
      </c>
      <c r="C12" s="193" t="s">
        <v>300</v>
      </c>
      <c r="D12" s="181" t="s">
        <v>283</v>
      </c>
      <c r="E12" s="181" t="s">
        <v>278</v>
      </c>
      <c r="F12" s="195" t="s">
        <v>301</v>
      </c>
      <c r="G12" s="182" t="s">
        <v>302</v>
      </c>
      <c r="H12" s="183">
        <v>18866.36174296428</v>
      </c>
      <c r="I12" s="187">
        <v>0</v>
      </c>
      <c r="J12" s="184">
        <v>2706.2625904854667</v>
      </c>
      <c r="K12" s="184">
        <v>2736.068401710043</v>
      </c>
      <c r="L12" s="184">
        <v>0</v>
      </c>
      <c r="M12" s="184">
        <v>1230.0307507687692</v>
      </c>
      <c r="N12" s="184">
        <f t="shared" si="0"/>
        <v>6672.3617429642791</v>
      </c>
      <c r="O12" s="188"/>
      <c r="P12" s="188">
        <v>4964</v>
      </c>
      <c r="Q12" s="184">
        <f>1630</f>
        <v>1630</v>
      </c>
      <c r="R12" s="184"/>
      <c r="S12" s="184">
        <f t="shared" si="1"/>
        <v>1630</v>
      </c>
      <c r="T12" s="184"/>
      <c r="U12" s="184"/>
      <c r="V12" s="184"/>
      <c r="W12" s="184">
        <f t="shared" si="2"/>
        <v>0</v>
      </c>
      <c r="X12" s="185">
        <f t="shared" si="3"/>
        <v>6594</v>
      </c>
      <c r="Y12" s="184">
        <v>0</v>
      </c>
      <c r="Z12" s="184">
        <v>0</v>
      </c>
      <c r="AA12" s="184">
        <f>2310000/1501.06</f>
        <v>1538.9125018320387</v>
      </c>
      <c r="AB12" s="184">
        <f t="shared" si="4"/>
        <v>1538.9125018320387</v>
      </c>
      <c r="AC12" s="184"/>
      <c r="AD12" s="184"/>
      <c r="AE12" s="184">
        <f t="shared" si="5"/>
        <v>14805.274244796319</v>
      </c>
      <c r="AF12" s="184">
        <f t="shared" si="6"/>
        <v>4061.0874981679608</v>
      </c>
      <c r="AG12" s="184">
        <v>5600</v>
      </c>
      <c r="AH12" s="21">
        <v>5600</v>
      </c>
      <c r="AI12" s="25">
        <v>5600</v>
      </c>
      <c r="AJ12" s="25"/>
      <c r="AK12" s="23">
        <v>5600</v>
      </c>
      <c r="AL12" s="23"/>
      <c r="AM12" s="23"/>
      <c r="AN12" s="23"/>
      <c r="AO12" s="23"/>
      <c r="AP12" s="24">
        <f t="shared" si="7"/>
        <v>5600</v>
      </c>
      <c r="AQ12" s="296">
        <v>4061</v>
      </c>
      <c r="AR12" s="291" t="s">
        <v>610</v>
      </c>
    </row>
    <row r="13" spans="1:57" ht="45" customHeight="1" x14ac:dyDescent="1.1000000000000001">
      <c r="A13" s="196" t="s">
        <v>303</v>
      </c>
      <c r="B13" s="197" t="s">
        <v>304</v>
      </c>
      <c r="C13" s="181" t="s">
        <v>305</v>
      </c>
      <c r="D13" s="181" t="s">
        <v>283</v>
      </c>
      <c r="E13" s="193" t="s">
        <v>306</v>
      </c>
      <c r="F13" s="182" t="s">
        <v>307</v>
      </c>
      <c r="G13" s="182" t="s">
        <v>308</v>
      </c>
      <c r="H13" s="183">
        <v>5097.5649824064985</v>
      </c>
      <c r="I13" s="187">
        <v>575.45436433267662</v>
      </c>
      <c r="J13" s="184">
        <v>1279.7945601723743</v>
      </c>
      <c r="K13" s="184">
        <v>0</v>
      </c>
      <c r="L13" s="184">
        <v>2642.3160579014475</v>
      </c>
      <c r="M13" s="184"/>
      <c r="N13" s="187">
        <f t="shared" si="0"/>
        <v>3922.1106180738216</v>
      </c>
      <c r="O13" s="188"/>
      <c r="P13" s="188"/>
      <c r="Q13" s="27"/>
      <c r="R13" s="184"/>
      <c r="S13" s="184">
        <f t="shared" si="1"/>
        <v>0</v>
      </c>
      <c r="T13" s="184">
        <v>442</v>
      </c>
      <c r="U13" s="184"/>
      <c r="V13" s="184"/>
      <c r="W13" s="184">
        <f t="shared" si="2"/>
        <v>442</v>
      </c>
      <c r="X13" s="185">
        <f t="shared" si="3"/>
        <v>442</v>
      </c>
      <c r="Y13" s="184">
        <v>0</v>
      </c>
      <c r="Z13" s="184">
        <v>9</v>
      </c>
      <c r="AA13" s="184"/>
      <c r="AB13" s="184">
        <f t="shared" si="4"/>
        <v>9</v>
      </c>
      <c r="AC13" s="184"/>
      <c r="AD13" s="184"/>
      <c r="AE13" s="184">
        <f t="shared" si="5"/>
        <v>4948.5649824064985</v>
      </c>
      <c r="AF13" s="184">
        <f t="shared" si="6"/>
        <v>149</v>
      </c>
      <c r="AG13" s="184">
        <v>149</v>
      </c>
      <c r="AH13" s="28"/>
      <c r="AI13" s="28"/>
      <c r="AJ13" s="25"/>
      <c r="AK13" s="23">
        <v>158</v>
      </c>
      <c r="AL13" s="23"/>
      <c r="AM13" s="23"/>
      <c r="AN13" s="23"/>
      <c r="AO13" s="23"/>
      <c r="AP13" s="24">
        <f t="shared" si="7"/>
        <v>158</v>
      </c>
      <c r="AQ13" s="295">
        <f>149+1351</f>
        <v>1500</v>
      </c>
      <c r="AR13" s="291" t="s">
        <v>611</v>
      </c>
      <c r="AS13" s="294">
        <v>1351</v>
      </c>
    </row>
    <row r="14" spans="1:57" ht="45" customHeight="1" x14ac:dyDescent="1.1000000000000001">
      <c r="A14" s="196" t="s">
        <v>309</v>
      </c>
      <c r="B14" s="197" t="s">
        <v>310</v>
      </c>
      <c r="C14" s="181" t="s">
        <v>310</v>
      </c>
      <c r="D14" s="181" t="s">
        <v>283</v>
      </c>
      <c r="E14" s="193" t="s">
        <v>306</v>
      </c>
      <c r="F14" s="182" t="s">
        <v>311</v>
      </c>
      <c r="G14" s="182" t="s">
        <v>312</v>
      </c>
      <c r="H14" s="183">
        <v>0</v>
      </c>
      <c r="I14" s="187">
        <v>0</v>
      </c>
      <c r="J14" s="184">
        <v>0</v>
      </c>
      <c r="K14" s="184">
        <v>0</v>
      </c>
      <c r="L14" s="184">
        <v>0</v>
      </c>
      <c r="M14" s="184">
        <v>0</v>
      </c>
      <c r="N14" s="184">
        <f t="shared" si="0"/>
        <v>0</v>
      </c>
      <c r="O14" s="188"/>
      <c r="P14" s="189"/>
      <c r="Q14" s="190"/>
      <c r="R14" s="184"/>
      <c r="S14" s="184">
        <f t="shared" si="1"/>
        <v>0</v>
      </c>
      <c r="T14" s="184"/>
      <c r="U14" s="184"/>
      <c r="V14" s="184"/>
      <c r="W14" s="184">
        <f t="shared" si="2"/>
        <v>0</v>
      </c>
      <c r="X14" s="185">
        <f t="shared" si="3"/>
        <v>0</v>
      </c>
      <c r="Y14" s="184">
        <v>0</v>
      </c>
      <c r="Z14" s="184">
        <v>0</v>
      </c>
      <c r="AA14" s="184"/>
      <c r="AB14" s="184">
        <f t="shared" si="4"/>
        <v>0</v>
      </c>
      <c r="AC14" s="184"/>
      <c r="AD14" s="184"/>
      <c r="AE14" s="184">
        <f t="shared" si="5"/>
        <v>0</v>
      </c>
      <c r="AF14" s="184">
        <f t="shared" si="6"/>
        <v>0</v>
      </c>
      <c r="AG14" s="184"/>
      <c r="AH14" s="185"/>
      <c r="AI14" s="28"/>
      <c r="AJ14" s="25"/>
      <c r="AK14" s="23"/>
      <c r="AL14" s="23"/>
      <c r="AM14" s="23"/>
      <c r="AN14" s="23"/>
      <c r="AO14" s="23"/>
      <c r="AP14" s="24">
        <f t="shared" si="7"/>
        <v>0</v>
      </c>
      <c r="AQ14" s="274"/>
    </row>
    <row r="15" spans="1:57" s="32" customFormat="1" ht="45" customHeight="1" x14ac:dyDescent="1.1000000000000001">
      <c r="A15" s="179" t="s">
        <v>313</v>
      </c>
      <c r="B15" s="197" t="s">
        <v>314</v>
      </c>
      <c r="C15" s="181" t="s">
        <v>315</v>
      </c>
      <c r="D15" s="181" t="s">
        <v>283</v>
      </c>
      <c r="E15" s="193" t="s">
        <v>316</v>
      </c>
      <c r="F15" s="182" t="s">
        <v>317</v>
      </c>
      <c r="G15" s="182" t="s">
        <v>318</v>
      </c>
      <c r="H15" s="183">
        <v>3000</v>
      </c>
      <c r="I15" s="187">
        <v>0</v>
      </c>
      <c r="J15" s="184">
        <v>0</v>
      </c>
      <c r="K15" s="184">
        <v>0</v>
      </c>
      <c r="L15" s="184">
        <v>0</v>
      </c>
      <c r="M15" s="184">
        <v>0</v>
      </c>
      <c r="N15" s="184">
        <f t="shared" si="0"/>
        <v>0</v>
      </c>
      <c r="O15" s="188"/>
      <c r="P15" s="189"/>
      <c r="Q15" s="190"/>
      <c r="R15" s="184"/>
      <c r="S15" s="184">
        <f t="shared" si="1"/>
        <v>0</v>
      </c>
      <c r="T15" s="184"/>
      <c r="U15" s="184"/>
      <c r="V15" s="184"/>
      <c r="W15" s="198">
        <f t="shared" si="2"/>
        <v>0</v>
      </c>
      <c r="X15" s="199">
        <f t="shared" si="3"/>
        <v>0</v>
      </c>
      <c r="Y15" s="184">
        <v>0</v>
      </c>
      <c r="Z15" s="184">
        <v>0</v>
      </c>
      <c r="AA15" s="184"/>
      <c r="AB15" s="184">
        <f t="shared" si="4"/>
        <v>0</v>
      </c>
      <c r="AC15" s="184"/>
      <c r="AD15" s="184"/>
      <c r="AE15" s="184">
        <f t="shared" si="5"/>
        <v>0</v>
      </c>
      <c r="AF15" s="184">
        <f t="shared" si="6"/>
        <v>3000</v>
      </c>
      <c r="AG15" s="184">
        <v>3000</v>
      </c>
      <c r="AH15" s="21">
        <v>3000</v>
      </c>
      <c r="AI15" s="29"/>
      <c r="AJ15" s="21"/>
      <c r="AK15" s="30">
        <v>3000</v>
      </c>
      <c r="AL15" s="30"/>
      <c r="AM15" s="30"/>
      <c r="AN15" s="30"/>
      <c r="AO15" s="30"/>
      <c r="AP15" s="31">
        <f t="shared" si="7"/>
        <v>3000</v>
      </c>
      <c r="AQ15" s="274">
        <v>3000</v>
      </c>
      <c r="AR15" s="262"/>
      <c r="AS15" s="262"/>
      <c r="AT15" s="9"/>
      <c r="AU15" s="9"/>
      <c r="AV15" s="9"/>
      <c r="AW15" s="9"/>
      <c r="AX15" s="9"/>
      <c r="AY15" s="9"/>
      <c r="AZ15" s="9"/>
      <c r="BA15" s="9"/>
      <c r="BB15" s="9"/>
      <c r="BC15" s="9"/>
      <c r="BD15" s="9"/>
      <c r="BE15" s="9"/>
    </row>
    <row r="16" spans="1:57" s="36" customFormat="1" ht="45" customHeight="1" x14ac:dyDescent="1.1000000000000001">
      <c r="A16" s="200" t="s">
        <v>319</v>
      </c>
      <c r="B16" s="201" t="s">
        <v>320</v>
      </c>
      <c r="C16" s="202" t="s">
        <v>320</v>
      </c>
      <c r="D16" s="203" t="s">
        <v>283</v>
      </c>
      <c r="E16" s="203" t="s">
        <v>288</v>
      </c>
      <c r="F16" s="204" t="s">
        <v>321</v>
      </c>
      <c r="G16" s="204" t="s">
        <v>322</v>
      </c>
      <c r="H16" s="183">
        <v>0</v>
      </c>
      <c r="I16" s="187">
        <v>0</v>
      </c>
      <c r="J16" s="184">
        <v>0</v>
      </c>
      <c r="K16" s="184">
        <v>0</v>
      </c>
      <c r="L16" s="184">
        <v>0</v>
      </c>
      <c r="M16" s="184">
        <v>0</v>
      </c>
      <c r="N16" s="184">
        <f t="shared" si="0"/>
        <v>0</v>
      </c>
      <c r="O16" s="188"/>
      <c r="P16" s="189"/>
      <c r="Q16" s="194"/>
      <c r="R16" s="184"/>
      <c r="S16" s="184">
        <f t="shared" si="1"/>
        <v>0</v>
      </c>
      <c r="T16" s="184"/>
      <c r="U16" s="184"/>
      <c r="V16" s="184"/>
      <c r="W16" s="184">
        <f t="shared" si="2"/>
        <v>0</v>
      </c>
      <c r="X16" s="185">
        <f t="shared" si="3"/>
        <v>0</v>
      </c>
      <c r="Y16" s="184">
        <f>V16+W16+X16</f>
        <v>0</v>
      </c>
      <c r="Z16" s="184">
        <v>0</v>
      </c>
      <c r="AA16" s="184"/>
      <c r="AB16" s="184">
        <f t="shared" si="4"/>
        <v>0</v>
      </c>
      <c r="AC16" s="184"/>
      <c r="AD16" s="184"/>
      <c r="AE16" s="184">
        <f t="shared" si="5"/>
        <v>0</v>
      </c>
      <c r="AF16" s="184">
        <f t="shared" si="6"/>
        <v>0</v>
      </c>
      <c r="AG16" s="184"/>
      <c r="AH16" s="185"/>
      <c r="AI16" s="33"/>
      <c r="AJ16" s="34"/>
      <c r="AK16" s="23"/>
      <c r="AL16" s="23"/>
      <c r="AM16" s="23"/>
      <c r="AN16" s="23"/>
      <c r="AO16" s="23"/>
      <c r="AP16" s="24">
        <f t="shared" si="7"/>
        <v>0</v>
      </c>
      <c r="AQ16" s="274"/>
      <c r="AR16" s="276"/>
      <c r="AS16" s="276"/>
      <c r="AT16" s="35"/>
      <c r="AU16" s="35"/>
      <c r="AV16" s="35"/>
      <c r="AW16" s="35"/>
      <c r="AX16" s="35"/>
      <c r="AY16" s="35"/>
      <c r="AZ16" s="35"/>
      <c r="BA16" s="35"/>
      <c r="BB16" s="35"/>
      <c r="BC16" s="35"/>
      <c r="BD16" s="35"/>
      <c r="BE16" s="35"/>
    </row>
    <row r="17" spans="1:57" s="38" customFormat="1" ht="45" customHeight="1" x14ac:dyDescent="0.8">
      <c r="A17" s="327" t="s">
        <v>323</v>
      </c>
      <c r="B17" s="327"/>
      <c r="C17" s="327"/>
      <c r="D17" s="327"/>
      <c r="E17" s="327"/>
      <c r="F17" s="327"/>
      <c r="G17" s="327"/>
      <c r="H17" s="37">
        <v>93241.169356436556</v>
      </c>
      <c r="I17" s="37">
        <f t="shared" ref="I17:AQ17" si="8">SUM(I7:I16)</f>
        <v>575.45436433267662</v>
      </c>
      <c r="J17" s="37">
        <f t="shared" si="8"/>
        <v>3986.0571506578408</v>
      </c>
      <c r="K17" s="37">
        <f t="shared" si="8"/>
        <v>2736.068401710043</v>
      </c>
      <c r="L17" s="37">
        <f t="shared" si="8"/>
        <v>16901.790294757368</v>
      </c>
      <c r="M17" s="37">
        <f t="shared" si="8"/>
        <v>5415.799144978625</v>
      </c>
      <c r="N17" s="37">
        <f t="shared" si="8"/>
        <v>29039.714992103876</v>
      </c>
      <c r="O17" s="37">
        <f t="shared" si="8"/>
        <v>22140</v>
      </c>
      <c r="P17" s="37">
        <f t="shared" si="8"/>
        <v>7065</v>
      </c>
      <c r="Q17" s="37">
        <f t="shared" si="8"/>
        <v>1630</v>
      </c>
      <c r="R17" s="37">
        <f t="shared" si="8"/>
        <v>7941</v>
      </c>
      <c r="S17" s="37">
        <f t="shared" si="8"/>
        <v>9571</v>
      </c>
      <c r="T17" s="37">
        <f t="shared" si="8"/>
        <v>442</v>
      </c>
      <c r="U17" s="37">
        <f t="shared" si="8"/>
        <v>0</v>
      </c>
      <c r="V17" s="37">
        <f t="shared" si="8"/>
        <v>0</v>
      </c>
      <c r="W17" s="37">
        <f t="shared" si="8"/>
        <v>442</v>
      </c>
      <c r="X17" s="37">
        <f t="shared" si="8"/>
        <v>39218</v>
      </c>
      <c r="Y17" s="37">
        <f t="shared" si="8"/>
        <v>0</v>
      </c>
      <c r="Z17" s="37">
        <f t="shared" si="8"/>
        <v>9</v>
      </c>
      <c r="AA17" s="37">
        <f t="shared" si="8"/>
        <v>1538.9125018320387</v>
      </c>
      <c r="AB17" s="37">
        <f t="shared" si="8"/>
        <v>1547.9125018320387</v>
      </c>
      <c r="AC17" s="37">
        <f t="shared" si="8"/>
        <v>0</v>
      </c>
      <c r="AD17" s="37">
        <f t="shared" si="8"/>
        <v>0</v>
      </c>
      <c r="AE17" s="37">
        <f t="shared" si="8"/>
        <v>70381.081858268604</v>
      </c>
      <c r="AF17" s="37">
        <f t="shared" si="8"/>
        <v>22860.087498167963</v>
      </c>
      <c r="AG17" s="37">
        <f t="shared" si="8"/>
        <v>24399</v>
      </c>
      <c r="AH17" s="37">
        <f t="shared" si="8"/>
        <v>24250</v>
      </c>
      <c r="AI17" s="37">
        <f t="shared" si="8"/>
        <v>21250</v>
      </c>
      <c r="AJ17" s="37">
        <f t="shared" si="8"/>
        <v>0</v>
      </c>
      <c r="AK17" s="37">
        <f t="shared" si="8"/>
        <v>21908</v>
      </c>
      <c r="AL17" s="37">
        <f t="shared" si="8"/>
        <v>2500</v>
      </c>
      <c r="AM17" s="37">
        <f t="shared" si="8"/>
        <v>0</v>
      </c>
      <c r="AN17" s="37">
        <f t="shared" si="8"/>
        <v>0</v>
      </c>
      <c r="AO17" s="37">
        <f t="shared" si="8"/>
        <v>0</v>
      </c>
      <c r="AP17" s="37">
        <f t="shared" si="8"/>
        <v>24408</v>
      </c>
      <c r="AQ17" s="293">
        <f t="shared" si="8"/>
        <v>20661</v>
      </c>
      <c r="AR17" s="263"/>
      <c r="AS17" s="262"/>
      <c r="AT17" s="9"/>
      <c r="AU17" s="9"/>
      <c r="AV17" s="9"/>
      <c r="AW17" s="9"/>
      <c r="AX17" s="9"/>
      <c r="AY17" s="9"/>
      <c r="AZ17" s="9"/>
      <c r="BA17" s="9"/>
      <c r="BB17" s="9"/>
      <c r="BC17" s="9"/>
      <c r="BD17" s="9"/>
      <c r="BE17" s="9"/>
    </row>
    <row r="18" spans="1:57" s="39" customFormat="1" ht="45" customHeight="1" x14ac:dyDescent="0.65">
      <c r="A18" s="205" t="s">
        <v>324</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92"/>
      <c r="AR18" s="291"/>
      <c r="AS18" s="291"/>
    </row>
    <row r="19" spans="1:57" ht="45" customHeight="1" x14ac:dyDescent="1.1000000000000001">
      <c r="A19" s="176">
        <v>2.1</v>
      </c>
      <c r="B19" s="206" t="s">
        <v>325</v>
      </c>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40"/>
      <c r="AL19" s="40"/>
      <c r="AM19" s="40"/>
      <c r="AN19" s="40"/>
      <c r="AO19" s="40"/>
      <c r="AP19" s="41"/>
      <c r="AQ19" s="290"/>
    </row>
    <row r="20" spans="1:57" ht="39" customHeight="1" x14ac:dyDescent="0.8">
      <c r="A20" s="42" t="s">
        <v>326</v>
      </c>
      <c r="B20" s="43" t="s">
        <v>327</v>
      </c>
      <c r="C20" s="44" t="s">
        <v>328</v>
      </c>
      <c r="D20" s="45" t="s">
        <v>329</v>
      </c>
      <c r="E20" s="45" t="s">
        <v>330</v>
      </c>
      <c r="F20" s="46" t="s">
        <v>331</v>
      </c>
      <c r="G20" s="46" t="s">
        <v>332</v>
      </c>
      <c r="H20" s="183">
        <v>114623</v>
      </c>
      <c r="I20" s="184">
        <v>2101</v>
      </c>
      <c r="J20" s="207">
        <v>1543</v>
      </c>
      <c r="K20" s="207">
        <v>1253</v>
      </c>
      <c r="L20" s="207">
        <v>2683</v>
      </c>
      <c r="M20" s="207">
        <v>1709</v>
      </c>
      <c r="N20" s="184">
        <f t="shared" ref="N20:N25" si="9">SUM(J20:M20)</f>
        <v>7188</v>
      </c>
      <c r="O20" s="188">
        <v>1825</v>
      </c>
      <c r="P20" s="188">
        <v>2342</v>
      </c>
      <c r="Q20" s="184">
        <f>402+679.21</f>
        <v>1081.21</v>
      </c>
      <c r="R20" s="184">
        <v>947</v>
      </c>
      <c r="S20" s="184">
        <f t="shared" ref="S20:S31" si="10">Q20+R20</f>
        <v>2028.21</v>
      </c>
      <c r="T20" s="184">
        <v>469</v>
      </c>
      <c r="U20" s="184">
        <v>320</v>
      </c>
      <c r="V20" s="184">
        <v>790</v>
      </c>
      <c r="W20" s="184">
        <f t="shared" ref="W20:W31" si="11">T20+U20+V20</f>
        <v>1579</v>
      </c>
      <c r="X20" s="185">
        <f t="shared" ref="X20:X32" si="12">W20+S20+P20+O20</f>
        <v>7774.21</v>
      </c>
      <c r="Y20" s="184">
        <v>708</v>
      </c>
      <c r="Z20" s="184">
        <v>655</v>
      </c>
      <c r="AA20" s="184">
        <f>(97000+120205+173329.6+199500+40000+162000+195000+98000+243000+13400+214000)/1501.06</f>
        <v>1036.2241349446392</v>
      </c>
      <c r="AB20" s="184">
        <f t="shared" ref="AB20:AB31" si="13">Y20+Z20+AA20</f>
        <v>2399.2241349446394</v>
      </c>
      <c r="AC20" s="184">
        <f>(138000+72632+84475.99)/1501.06</f>
        <v>196.59972952446938</v>
      </c>
      <c r="AD20" s="184">
        <f>(67000+468200+88600+82067.82)/1501.06</f>
        <v>470.24623932421093</v>
      </c>
      <c r="AE20" s="184">
        <f t="shared" ref="AE20:AE31" si="14">I20+N20+X20+AB20+AC20+AD20</f>
        <v>20129.28010379332</v>
      </c>
      <c r="AF20" s="184">
        <f t="shared" ref="AF20:AF31" si="15">H20-(I20+N20+X20+AB20+AC20+AD20)</f>
        <v>94493.719896206676</v>
      </c>
      <c r="AG20" s="25">
        <v>96204</v>
      </c>
      <c r="AH20" s="21">
        <v>96859</v>
      </c>
      <c r="AI20" s="47">
        <f>AJ20+AK20+AL20+AM20+AN20+AO20</f>
        <v>96859</v>
      </c>
      <c r="AJ20" s="184"/>
      <c r="AK20" s="48">
        <v>3000</v>
      </c>
      <c r="AL20" s="48">
        <v>3000</v>
      </c>
      <c r="AM20" s="48">
        <v>3000</v>
      </c>
      <c r="AN20" s="48">
        <f>12300+10000</f>
        <v>22300</v>
      </c>
      <c r="AO20" s="48">
        <f>47659+17900</f>
        <v>65559</v>
      </c>
      <c r="AP20" s="24">
        <f>SUM(AJ20:AO20)</f>
        <v>96859</v>
      </c>
      <c r="AQ20" s="289">
        <f>94548</f>
        <v>94548</v>
      </c>
      <c r="AT20" s="49"/>
      <c r="AW20" s="50"/>
    </row>
    <row r="21" spans="1:57" ht="45" customHeight="1" x14ac:dyDescent="0.8">
      <c r="A21" s="42" t="s">
        <v>333</v>
      </c>
      <c r="B21" s="51" t="s">
        <v>334</v>
      </c>
      <c r="C21" s="44" t="s">
        <v>335</v>
      </c>
      <c r="D21" s="45" t="s">
        <v>336</v>
      </c>
      <c r="E21" s="45" t="s">
        <v>337</v>
      </c>
      <c r="F21" s="46" t="s">
        <v>338</v>
      </c>
      <c r="G21" s="46" t="s">
        <v>339</v>
      </c>
      <c r="H21" s="183">
        <v>589182.1059741606</v>
      </c>
      <c r="I21" s="184">
        <v>43920.631424375912</v>
      </c>
      <c r="J21" s="208">
        <v>65176.28419183915</v>
      </c>
      <c r="K21" s="208">
        <v>13117.587939698493</v>
      </c>
      <c r="L21" s="208">
        <v>71704.604372795991</v>
      </c>
      <c r="M21" s="208">
        <v>13651.818045451137</v>
      </c>
      <c r="N21" s="184">
        <f t="shared" si="9"/>
        <v>163650.29454978477</v>
      </c>
      <c r="O21" s="188">
        <v>52516</v>
      </c>
      <c r="P21" s="188">
        <v>34762</v>
      </c>
      <c r="Q21" s="184">
        <f>13940+26665.18</f>
        <v>40605.18</v>
      </c>
      <c r="R21" s="184">
        <v>26566</v>
      </c>
      <c r="S21" s="184">
        <f t="shared" si="10"/>
        <v>67171.179999999993</v>
      </c>
      <c r="T21" s="184"/>
      <c r="U21" s="184">
        <v>15409</v>
      </c>
      <c r="V21" s="184"/>
      <c r="W21" s="184">
        <f t="shared" si="11"/>
        <v>15409</v>
      </c>
      <c r="X21" s="185">
        <f t="shared" si="12"/>
        <v>169858.18</v>
      </c>
      <c r="Y21" s="184">
        <v>28386</v>
      </c>
      <c r="Z21" s="184">
        <v>15191</v>
      </c>
      <c r="AA21" s="184">
        <f>22303855.83/1501.06</f>
        <v>14858.737045820953</v>
      </c>
      <c r="AB21" s="184">
        <f t="shared" si="13"/>
        <v>58435.737045820955</v>
      </c>
      <c r="AC21" s="184">
        <f>(21605659.9+21527683.3+114000)/1501.06</f>
        <v>28811.202217099919</v>
      </c>
      <c r="AD21" s="184">
        <f>21116204.5/1501.06</f>
        <v>14067.5286131134</v>
      </c>
      <c r="AE21" s="184">
        <f t="shared" si="14"/>
        <v>478743.57385019492</v>
      </c>
      <c r="AF21" s="184">
        <f t="shared" si="15"/>
        <v>110438.53212396568</v>
      </c>
      <c r="AG21" s="184">
        <v>168176</v>
      </c>
      <c r="AH21" s="21">
        <v>168116</v>
      </c>
      <c r="AI21" s="29">
        <f>AJ21+AK21+AL21+AM21+AN21+AO21</f>
        <v>168116</v>
      </c>
      <c r="AJ21" s="184"/>
      <c r="AK21" s="184">
        <v>42000</v>
      </c>
      <c r="AL21" s="184">
        <v>60000</v>
      </c>
      <c r="AM21" s="184">
        <v>66116</v>
      </c>
      <c r="AN21" s="48"/>
      <c r="AO21" s="48"/>
      <c r="AP21" s="183">
        <f>SUM(AJ21:AO21)</f>
        <v>168116</v>
      </c>
      <c r="AQ21" s="289">
        <f>124506-15034</f>
        <v>109472</v>
      </c>
      <c r="AR21" s="262" t="s">
        <v>613</v>
      </c>
    </row>
    <row r="22" spans="1:57" ht="45" customHeight="1" x14ac:dyDescent="0.8">
      <c r="A22" s="42" t="s">
        <v>340</v>
      </c>
      <c r="B22" s="51" t="s">
        <v>341</v>
      </c>
      <c r="C22" s="45" t="s">
        <v>342</v>
      </c>
      <c r="D22" s="45" t="s">
        <v>336</v>
      </c>
      <c r="E22" s="45" t="s">
        <v>337</v>
      </c>
      <c r="F22" s="46" t="s">
        <v>338</v>
      </c>
      <c r="G22" s="46" t="s">
        <v>343</v>
      </c>
      <c r="H22" s="183">
        <v>136625.37074719329</v>
      </c>
      <c r="I22" s="184">
        <v>10438.018654210848</v>
      </c>
      <c r="J22" s="208">
        <v>21284.596087875474</v>
      </c>
      <c r="K22" s="208">
        <v>0</v>
      </c>
      <c r="L22" s="208">
        <v>17263.44600510694</v>
      </c>
      <c r="M22" s="209">
        <v>0</v>
      </c>
      <c r="N22" s="184">
        <f t="shared" si="9"/>
        <v>38548.042092982418</v>
      </c>
      <c r="O22" s="188">
        <v>14988</v>
      </c>
      <c r="P22" s="188">
        <v>7041</v>
      </c>
      <c r="Q22" s="184">
        <f>5851+1225.04</f>
        <v>7076.04</v>
      </c>
      <c r="R22" s="184">
        <v>7238</v>
      </c>
      <c r="S22" s="184">
        <f t="shared" si="10"/>
        <v>14314.04</v>
      </c>
      <c r="T22" s="184"/>
      <c r="U22" s="184">
        <v>5213</v>
      </c>
      <c r="V22" s="184"/>
      <c r="W22" s="184">
        <f t="shared" si="11"/>
        <v>5213</v>
      </c>
      <c r="X22" s="185">
        <f t="shared" si="12"/>
        <v>41556.04</v>
      </c>
      <c r="Y22" s="184">
        <v>5668</v>
      </c>
      <c r="Z22" s="184">
        <v>2239.27</v>
      </c>
      <c r="AA22" s="184">
        <f>(979805+613700)/1501.06</f>
        <v>1061.5864788882523</v>
      </c>
      <c r="AB22" s="184">
        <f t="shared" si="13"/>
        <v>8968.8564788882522</v>
      </c>
      <c r="AC22" s="184">
        <f>(531705+48500)/1501.06</f>
        <v>386.5301853356961</v>
      </c>
      <c r="AD22" s="184">
        <f>359485/1501.06</f>
        <v>239.48742888358893</v>
      </c>
      <c r="AE22" s="184">
        <f t="shared" si="14"/>
        <v>100136.9748403008</v>
      </c>
      <c r="AF22" s="184">
        <f t="shared" si="15"/>
        <v>36488.395906892489</v>
      </c>
      <c r="AG22" s="184">
        <v>38176</v>
      </c>
      <c r="AH22" s="21">
        <v>38658</v>
      </c>
      <c r="AI22" s="29">
        <f>AJ22+AK22+AL22+AM22+AN22+AO22</f>
        <v>38658</v>
      </c>
      <c r="AJ22" s="184"/>
      <c r="AK22" s="48">
        <v>8475</v>
      </c>
      <c r="AL22" s="48">
        <v>12000</v>
      </c>
      <c r="AM22" s="48">
        <v>18183</v>
      </c>
      <c r="AN22" s="48"/>
      <c r="AO22" s="48"/>
      <c r="AP22" s="183">
        <f>SUM(AJ22:AO22)</f>
        <v>38658</v>
      </c>
      <c r="AQ22" s="289">
        <f>36728-295</f>
        <v>36433</v>
      </c>
      <c r="AR22" s="262" t="s">
        <v>612</v>
      </c>
    </row>
    <row r="23" spans="1:57" ht="45" customHeight="1" x14ac:dyDescent="0.8">
      <c r="A23" s="42" t="s">
        <v>344</v>
      </c>
      <c r="B23" s="51" t="s">
        <v>345</v>
      </c>
      <c r="C23" s="52" t="s">
        <v>346</v>
      </c>
      <c r="D23" s="52" t="s">
        <v>336</v>
      </c>
      <c r="E23" s="52" t="s">
        <v>337</v>
      </c>
      <c r="F23" s="46" t="s">
        <v>347</v>
      </c>
      <c r="G23" s="46" t="s">
        <v>348</v>
      </c>
      <c r="H23" s="183">
        <v>3215.3194329858247</v>
      </c>
      <c r="I23" s="184">
        <v>0</v>
      </c>
      <c r="J23" s="208">
        <v>0</v>
      </c>
      <c r="K23" s="208">
        <v>0</v>
      </c>
      <c r="L23" s="208">
        <v>777.31943298582462</v>
      </c>
      <c r="M23" s="209">
        <v>0</v>
      </c>
      <c r="N23" s="184">
        <f t="shared" si="9"/>
        <v>777.31943298582462</v>
      </c>
      <c r="O23" s="188"/>
      <c r="P23" s="188">
        <v>1650</v>
      </c>
      <c r="Q23" s="184"/>
      <c r="R23" s="184">
        <v>788</v>
      </c>
      <c r="S23" s="184">
        <f t="shared" si="10"/>
        <v>788</v>
      </c>
      <c r="T23" s="184"/>
      <c r="U23" s="184"/>
      <c r="V23" s="184"/>
      <c r="W23" s="184">
        <f t="shared" si="11"/>
        <v>0</v>
      </c>
      <c r="X23" s="185">
        <f t="shared" si="12"/>
        <v>2438</v>
      </c>
      <c r="Y23" s="184">
        <v>0</v>
      </c>
      <c r="Z23" s="184">
        <v>0</v>
      </c>
      <c r="AA23" s="184"/>
      <c r="AB23" s="184">
        <f t="shared" si="13"/>
        <v>0</v>
      </c>
      <c r="AC23" s="184"/>
      <c r="AD23" s="184"/>
      <c r="AE23" s="184">
        <f t="shared" si="14"/>
        <v>3215.3194329858247</v>
      </c>
      <c r="AF23" s="184">
        <f t="shared" si="15"/>
        <v>0</v>
      </c>
      <c r="AG23" s="184"/>
      <c r="AH23" s="28"/>
      <c r="AI23" s="185"/>
      <c r="AJ23" s="184"/>
      <c r="AK23" s="48"/>
      <c r="AL23" s="48"/>
      <c r="AM23" s="48"/>
      <c r="AN23" s="48"/>
      <c r="AO23" s="48"/>
      <c r="AP23" s="183">
        <f t="shared" ref="AP23:AP31" si="16">AJ23+AK23+AL23+AM23+AN23+AO23</f>
        <v>0</v>
      </c>
      <c r="AQ23" s="287"/>
      <c r="AT23" s="53"/>
      <c r="AW23" s="53"/>
    </row>
    <row r="24" spans="1:57" ht="45" customHeight="1" x14ac:dyDescent="0.8">
      <c r="A24" s="42" t="s">
        <v>349</v>
      </c>
      <c r="B24" s="51" t="s">
        <v>350</v>
      </c>
      <c r="C24" s="44" t="s">
        <v>351</v>
      </c>
      <c r="D24" s="45" t="s">
        <v>336</v>
      </c>
      <c r="E24" s="45" t="s">
        <v>337</v>
      </c>
      <c r="F24" s="46" t="s">
        <v>352</v>
      </c>
      <c r="G24" s="46" t="s">
        <v>353</v>
      </c>
      <c r="H24" s="183">
        <v>88193.105411128679</v>
      </c>
      <c r="I24" s="184">
        <v>9031.9438602705159</v>
      </c>
      <c r="J24" s="208">
        <v>12382.2615283576</v>
      </c>
      <c r="K24" s="208">
        <v>0</v>
      </c>
      <c r="L24" s="208">
        <v>36000.900022500566</v>
      </c>
      <c r="M24" s="209">
        <v>0</v>
      </c>
      <c r="N24" s="184">
        <f t="shared" si="9"/>
        <v>48383.161550858167</v>
      </c>
      <c r="O24" s="188"/>
      <c r="P24" s="188"/>
      <c r="Q24" s="184"/>
      <c r="R24" s="184">
        <v>30778</v>
      </c>
      <c r="S24" s="184">
        <f t="shared" si="10"/>
        <v>30778</v>
      </c>
      <c r="T24" s="184"/>
      <c r="U24" s="184"/>
      <c r="V24" s="184"/>
      <c r="W24" s="184">
        <f t="shared" si="11"/>
        <v>0</v>
      </c>
      <c r="X24" s="185">
        <f t="shared" si="12"/>
        <v>30778</v>
      </c>
      <c r="Y24" s="184">
        <v>0</v>
      </c>
      <c r="Z24" s="184">
        <v>0</v>
      </c>
      <c r="AA24" s="184"/>
      <c r="AB24" s="184">
        <f t="shared" si="13"/>
        <v>0</v>
      </c>
      <c r="AC24" s="184"/>
      <c r="AD24" s="184"/>
      <c r="AE24" s="184">
        <f t="shared" si="14"/>
        <v>88193.105411128679</v>
      </c>
      <c r="AF24" s="184">
        <f t="shared" si="15"/>
        <v>0</v>
      </c>
      <c r="AG24" s="184"/>
      <c r="AH24" s="28"/>
      <c r="AI24" s="29">
        <f>AJ24+AK24+AL24+AM24+AN24+AO24</f>
        <v>0</v>
      </c>
      <c r="AJ24" s="184"/>
      <c r="AK24" s="48"/>
      <c r="AL24" s="48"/>
      <c r="AM24" s="48"/>
      <c r="AN24" s="48"/>
      <c r="AO24" s="48"/>
      <c r="AP24" s="183">
        <f t="shared" si="16"/>
        <v>0</v>
      </c>
      <c r="AQ24" s="287"/>
    </row>
    <row r="25" spans="1:57" ht="39" customHeight="1" x14ac:dyDescent="0.8">
      <c r="A25" s="42" t="s">
        <v>354</v>
      </c>
      <c r="B25" s="51" t="s">
        <v>355</v>
      </c>
      <c r="C25" s="44" t="s">
        <v>356</v>
      </c>
      <c r="D25" s="45" t="s">
        <v>357</v>
      </c>
      <c r="E25" s="45" t="s">
        <v>278</v>
      </c>
      <c r="F25" s="46" t="s">
        <v>358</v>
      </c>
      <c r="G25" s="46" t="s">
        <v>359</v>
      </c>
      <c r="H25" s="183">
        <v>32492.788110892201</v>
      </c>
      <c r="I25" s="184">
        <v>9958.6035906404268</v>
      </c>
      <c r="J25" s="208">
        <v>4526.1845202517725</v>
      </c>
      <c r="K25" s="208">
        <v>0</v>
      </c>
      <c r="L25" s="208">
        <v>0</v>
      </c>
      <c r="M25" s="209">
        <v>0</v>
      </c>
      <c r="N25" s="184">
        <f t="shared" si="9"/>
        <v>4526.1845202517725</v>
      </c>
      <c r="O25" s="188"/>
      <c r="P25" s="188"/>
      <c r="Q25" s="184"/>
      <c r="R25" s="184">
        <v>17677</v>
      </c>
      <c r="S25" s="184">
        <f t="shared" si="10"/>
        <v>17677</v>
      </c>
      <c r="T25" s="184">
        <v>324</v>
      </c>
      <c r="U25" s="184"/>
      <c r="V25" s="184"/>
      <c r="W25" s="184">
        <f t="shared" si="11"/>
        <v>324</v>
      </c>
      <c r="X25" s="185">
        <f t="shared" si="12"/>
        <v>18001</v>
      </c>
      <c r="Y25" s="184">
        <v>0</v>
      </c>
      <c r="Z25" s="184">
        <v>7</v>
      </c>
      <c r="AA25" s="184"/>
      <c r="AB25" s="184">
        <f t="shared" si="13"/>
        <v>7</v>
      </c>
      <c r="AC25" s="184"/>
      <c r="AD25" s="184"/>
      <c r="AE25" s="184">
        <f t="shared" si="14"/>
        <v>32492.788110892201</v>
      </c>
      <c r="AF25" s="184">
        <f t="shared" si="15"/>
        <v>0</v>
      </c>
      <c r="AG25" s="184">
        <v>0</v>
      </c>
      <c r="AH25" s="21"/>
      <c r="AI25" s="185">
        <f>AJ25+AK25+AL25+AM25+AN25+AO25</f>
        <v>0</v>
      </c>
      <c r="AJ25" s="25">
        <v>0</v>
      </c>
      <c r="AK25" s="23"/>
      <c r="AL25" s="23"/>
      <c r="AM25" s="23"/>
      <c r="AN25" s="23"/>
      <c r="AO25" s="23"/>
      <c r="AP25" s="24">
        <f t="shared" si="16"/>
        <v>0</v>
      </c>
      <c r="AQ25" s="287"/>
    </row>
    <row r="26" spans="1:57" ht="31.5" customHeight="1" x14ac:dyDescent="1.1000000000000001">
      <c r="A26" s="42" t="s">
        <v>360</v>
      </c>
      <c r="B26" s="54" t="s">
        <v>361</v>
      </c>
      <c r="C26" s="45" t="s">
        <v>362</v>
      </c>
      <c r="D26" s="27" t="s">
        <v>363</v>
      </c>
      <c r="E26" s="27" t="s">
        <v>364</v>
      </c>
      <c r="F26" s="27"/>
      <c r="G26" s="27"/>
      <c r="H26" s="183">
        <v>0</v>
      </c>
      <c r="I26" s="184"/>
      <c r="J26" s="208">
        <v>0</v>
      </c>
      <c r="K26" s="208">
        <v>0</v>
      </c>
      <c r="L26" s="208">
        <v>0</v>
      </c>
      <c r="M26" s="209">
        <v>0</v>
      </c>
      <c r="N26" s="184"/>
      <c r="O26" s="188"/>
      <c r="P26" s="188"/>
      <c r="Q26" s="184"/>
      <c r="R26" s="184"/>
      <c r="S26" s="184">
        <f t="shared" si="10"/>
        <v>0</v>
      </c>
      <c r="T26" s="184"/>
      <c r="U26" s="184"/>
      <c r="V26" s="184"/>
      <c r="W26" s="184">
        <f t="shared" si="11"/>
        <v>0</v>
      </c>
      <c r="X26" s="185">
        <f t="shared" si="12"/>
        <v>0</v>
      </c>
      <c r="Y26" s="184">
        <v>0</v>
      </c>
      <c r="Z26" s="184">
        <v>0</v>
      </c>
      <c r="AA26" s="184"/>
      <c r="AB26" s="184">
        <f t="shared" si="13"/>
        <v>0</v>
      </c>
      <c r="AC26" s="184"/>
      <c r="AD26" s="184"/>
      <c r="AE26" s="184">
        <f t="shared" si="14"/>
        <v>0</v>
      </c>
      <c r="AF26" s="184">
        <f t="shared" si="15"/>
        <v>0</v>
      </c>
      <c r="AG26" s="184"/>
      <c r="AH26" s="185"/>
      <c r="AI26" s="28"/>
      <c r="AJ26" s="25"/>
      <c r="AK26" s="23"/>
      <c r="AL26" s="23"/>
      <c r="AM26" s="23"/>
      <c r="AN26" s="23"/>
      <c r="AO26" s="23"/>
      <c r="AP26" s="24">
        <f t="shared" si="16"/>
        <v>0</v>
      </c>
      <c r="AQ26" s="287"/>
    </row>
    <row r="27" spans="1:57" ht="45" customHeight="1" x14ac:dyDescent="0.8">
      <c r="A27" s="42" t="s">
        <v>365</v>
      </c>
      <c r="B27" s="54" t="s">
        <v>366</v>
      </c>
      <c r="C27" s="44" t="s">
        <v>366</v>
      </c>
      <c r="D27" s="45" t="s">
        <v>336</v>
      </c>
      <c r="E27" s="45" t="s">
        <v>367</v>
      </c>
      <c r="F27" s="46" t="s">
        <v>368</v>
      </c>
      <c r="G27" s="46" t="s">
        <v>369</v>
      </c>
      <c r="H27" s="183">
        <v>78709.227126124024</v>
      </c>
      <c r="I27" s="184">
        <v>8192.0498085139352</v>
      </c>
      <c r="J27" s="208">
        <v>23326.052664493771</v>
      </c>
      <c r="K27" s="208">
        <v>3048.5487137178429</v>
      </c>
      <c r="L27" s="208">
        <v>7020</v>
      </c>
      <c r="M27" s="208">
        <v>3807.5759393984849</v>
      </c>
      <c r="N27" s="184">
        <f>SUM(J27:M27)</f>
        <v>37202.177317610098</v>
      </c>
      <c r="O27" s="188">
        <v>6602</v>
      </c>
      <c r="P27" s="188">
        <v>3376</v>
      </c>
      <c r="Q27" s="184">
        <f>3538+2567</f>
        <v>6105</v>
      </c>
      <c r="R27" s="184">
        <v>3598</v>
      </c>
      <c r="S27" s="184">
        <f t="shared" si="10"/>
        <v>9703</v>
      </c>
      <c r="T27" s="184"/>
      <c r="U27" s="184"/>
      <c r="V27" s="184"/>
      <c r="W27" s="184">
        <f t="shared" si="11"/>
        <v>0</v>
      </c>
      <c r="X27" s="185">
        <f t="shared" si="12"/>
        <v>19681</v>
      </c>
      <c r="Y27" s="184">
        <v>7134</v>
      </c>
      <c r="Z27" s="184">
        <v>0</v>
      </c>
      <c r="AA27" s="184">
        <f>(4765723+693300)/1501.06</f>
        <v>3636.7786764020093</v>
      </c>
      <c r="AB27" s="184">
        <f t="shared" si="13"/>
        <v>10770.778676402009</v>
      </c>
      <c r="AC27" s="184"/>
      <c r="AD27" s="184"/>
      <c r="AE27" s="184">
        <f t="shared" si="14"/>
        <v>75846.005802526037</v>
      </c>
      <c r="AF27" s="184">
        <f t="shared" si="15"/>
        <v>2863.2213235979871</v>
      </c>
      <c r="AG27" s="184">
        <f>4631+1869</f>
        <v>6500</v>
      </c>
      <c r="AH27" s="21">
        <v>6500</v>
      </c>
      <c r="AI27" s="28">
        <v>6500</v>
      </c>
      <c r="AJ27" s="25"/>
      <c r="AK27" s="25"/>
      <c r="AL27" s="25">
        <v>6500</v>
      </c>
      <c r="AM27" s="25"/>
      <c r="AN27" s="25"/>
      <c r="AO27" s="23"/>
      <c r="AP27" s="24">
        <f t="shared" si="16"/>
        <v>6500</v>
      </c>
      <c r="AQ27" s="288">
        <f>2863+137</f>
        <v>3000</v>
      </c>
      <c r="AS27" s="276">
        <v>137</v>
      </c>
    </row>
    <row r="28" spans="1:57" ht="45" customHeight="1" x14ac:dyDescent="0.8">
      <c r="A28" s="42" t="s">
        <v>370</v>
      </c>
      <c r="B28" s="54" t="s">
        <v>371</v>
      </c>
      <c r="C28" s="44" t="s">
        <v>372</v>
      </c>
      <c r="D28" s="45" t="s">
        <v>336</v>
      </c>
      <c r="E28" s="45" t="s">
        <v>367</v>
      </c>
      <c r="F28" s="46" t="s">
        <v>373</v>
      </c>
      <c r="G28" s="46" t="s">
        <v>374</v>
      </c>
      <c r="H28" s="183">
        <v>24609.66805159174</v>
      </c>
      <c r="I28" s="184">
        <v>3767.6923531017787</v>
      </c>
      <c r="J28" s="208">
        <v>2866.3570830245726</v>
      </c>
      <c r="K28" s="208">
        <v>2961.7520438010952</v>
      </c>
      <c r="L28" s="208">
        <v>2398.3349583739596</v>
      </c>
      <c r="M28" s="208">
        <v>2794.5316132903322</v>
      </c>
      <c r="N28" s="184">
        <f>SUM(J28:M28)</f>
        <v>11020.97569848996</v>
      </c>
      <c r="O28" s="188">
        <v>2233</v>
      </c>
      <c r="P28" s="188">
        <v>3108</v>
      </c>
      <c r="Q28" s="184">
        <v>732</v>
      </c>
      <c r="R28" s="184">
        <v>713</v>
      </c>
      <c r="S28" s="184">
        <f t="shared" si="10"/>
        <v>1445</v>
      </c>
      <c r="T28" s="184">
        <v>133</v>
      </c>
      <c r="U28" s="184"/>
      <c r="V28" s="184">
        <v>200</v>
      </c>
      <c r="W28" s="184">
        <f t="shared" si="11"/>
        <v>333</v>
      </c>
      <c r="X28" s="185">
        <f t="shared" si="12"/>
        <v>7119</v>
      </c>
      <c r="Y28" s="184">
        <v>0</v>
      </c>
      <c r="Z28" s="184">
        <v>218</v>
      </c>
      <c r="AA28" s="184">
        <f>(108450+174200+148230+396900+642650)/1501.06</f>
        <v>979.59441994324015</v>
      </c>
      <c r="AB28" s="184">
        <f t="shared" si="13"/>
        <v>1197.5944199432402</v>
      </c>
      <c r="AC28" s="184"/>
      <c r="AD28" s="184"/>
      <c r="AE28" s="184">
        <f t="shared" si="14"/>
        <v>23105.262471534981</v>
      </c>
      <c r="AF28" s="184">
        <f t="shared" si="15"/>
        <v>1504.4055800567585</v>
      </c>
      <c r="AG28" s="184">
        <v>2484</v>
      </c>
      <c r="AH28" s="21">
        <v>2702</v>
      </c>
      <c r="AI28" s="28">
        <v>2702</v>
      </c>
      <c r="AJ28" s="25"/>
      <c r="AK28" s="25">
        <v>1400</v>
      </c>
      <c r="AL28" s="25">
        <v>1302</v>
      </c>
      <c r="AM28" s="25"/>
      <c r="AN28" s="25"/>
      <c r="AO28" s="23"/>
      <c r="AP28" s="24">
        <f t="shared" si="16"/>
        <v>2702</v>
      </c>
      <c r="AQ28" s="288">
        <f>1504+1881</f>
        <v>3385</v>
      </c>
      <c r="AS28" s="276">
        <v>1881</v>
      </c>
    </row>
    <row r="29" spans="1:57" ht="45" customHeight="1" x14ac:dyDescent="0.8">
      <c r="A29" s="42" t="s">
        <v>375</v>
      </c>
      <c r="B29" s="54" t="s">
        <v>376</v>
      </c>
      <c r="C29" s="44"/>
      <c r="D29" s="45"/>
      <c r="E29" s="45"/>
      <c r="F29" s="46"/>
      <c r="G29" s="46"/>
      <c r="H29" s="183">
        <v>2400</v>
      </c>
      <c r="I29" s="184"/>
      <c r="J29" s="208"/>
      <c r="K29" s="208"/>
      <c r="L29" s="208"/>
      <c r="M29" s="208"/>
      <c r="N29" s="184"/>
      <c r="O29" s="188"/>
      <c r="P29" s="188"/>
      <c r="Q29" s="184"/>
      <c r="R29" s="184">
        <v>2400</v>
      </c>
      <c r="S29" s="184">
        <f t="shared" si="10"/>
        <v>2400</v>
      </c>
      <c r="T29" s="184"/>
      <c r="U29" s="184"/>
      <c r="V29" s="184"/>
      <c r="W29" s="184">
        <f t="shared" si="11"/>
        <v>0</v>
      </c>
      <c r="X29" s="185">
        <f t="shared" si="12"/>
        <v>2400</v>
      </c>
      <c r="Y29" s="184">
        <v>0</v>
      </c>
      <c r="Z29" s="184">
        <v>0</v>
      </c>
      <c r="AA29" s="184"/>
      <c r="AB29" s="184">
        <f t="shared" si="13"/>
        <v>0</v>
      </c>
      <c r="AC29" s="184"/>
      <c r="AD29" s="184"/>
      <c r="AE29" s="184">
        <f t="shared" si="14"/>
        <v>2400</v>
      </c>
      <c r="AF29" s="184">
        <f t="shared" si="15"/>
        <v>0</v>
      </c>
      <c r="AG29" s="184"/>
      <c r="AH29" s="184"/>
      <c r="AI29" s="28"/>
      <c r="AJ29" s="25"/>
      <c r="AK29" s="23"/>
      <c r="AL29" s="23"/>
      <c r="AM29" s="23"/>
      <c r="AN29" s="23"/>
      <c r="AO29" s="23"/>
      <c r="AP29" s="24">
        <f t="shared" si="16"/>
        <v>0</v>
      </c>
      <c r="AQ29" s="287"/>
    </row>
    <row r="30" spans="1:57" ht="45" customHeight="1" x14ac:dyDescent="0.8">
      <c r="A30" s="42" t="s">
        <v>377</v>
      </c>
      <c r="B30" s="54" t="s">
        <v>378</v>
      </c>
      <c r="C30" s="44"/>
      <c r="D30" s="45"/>
      <c r="E30" s="45"/>
      <c r="F30" s="46"/>
      <c r="G30" s="46"/>
      <c r="H30" s="183">
        <v>537</v>
      </c>
      <c r="I30" s="184"/>
      <c r="J30" s="208"/>
      <c r="K30" s="208"/>
      <c r="L30" s="208"/>
      <c r="M30" s="208"/>
      <c r="N30" s="184"/>
      <c r="O30" s="188"/>
      <c r="P30" s="188"/>
      <c r="Q30" s="184"/>
      <c r="R30" s="184">
        <v>537</v>
      </c>
      <c r="S30" s="184">
        <f t="shared" si="10"/>
        <v>537</v>
      </c>
      <c r="T30" s="184"/>
      <c r="U30" s="184"/>
      <c r="V30" s="184"/>
      <c r="W30" s="184">
        <f t="shared" si="11"/>
        <v>0</v>
      </c>
      <c r="X30" s="185">
        <f t="shared" si="12"/>
        <v>537</v>
      </c>
      <c r="Y30" s="184">
        <v>0</v>
      </c>
      <c r="Z30" s="184">
        <v>0</v>
      </c>
      <c r="AA30" s="184"/>
      <c r="AB30" s="184">
        <f t="shared" si="13"/>
        <v>0</v>
      </c>
      <c r="AC30" s="184"/>
      <c r="AD30" s="184"/>
      <c r="AE30" s="184">
        <f t="shared" si="14"/>
        <v>537</v>
      </c>
      <c r="AF30" s="184">
        <f t="shared" si="15"/>
        <v>0</v>
      </c>
      <c r="AG30" s="184"/>
      <c r="AH30" s="184"/>
      <c r="AI30" s="28"/>
      <c r="AJ30" s="25"/>
      <c r="AK30" s="23"/>
      <c r="AL30" s="23"/>
      <c r="AM30" s="23"/>
      <c r="AN30" s="23"/>
      <c r="AO30" s="23"/>
      <c r="AP30" s="24">
        <f t="shared" si="16"/>
        <v>0</v>
      </c>
      <c r="AQ30" s="287"/>
    </row>
    <row r="31" spans="1:57" ht="45" customHeight="1" x14ac:dyDescent="0.8">
      <c r="A31" s="42" t="s">
        <v>379</v>
      </c>
      <c r="B31" s="42" t="s">
        <v>380</v>
      </c>
      <c r="C31" s="44"/>
      <c r="D31" s="45"/>
      <c r="E31" s="45"/>
      <c r="F31" s="46"/>
      <c r="G31" s="46"/>
      <c r="H31" s="183">
        <v>15493</v>
      </c>
      <c r="I31" s="184">
        <v>2515</v>
      </c>
      <c r="J31" s="208">
        <v>3691</v>
      </c>
      <c r="K31" s="208">
        <v>1066</v>
      </c>
      <c r="L31" s="208">
        <v>461</v>
      </c>
      <c r="M31" s="209">
        <v>0</v>
      </c>
      <c r="N31" s="184">
        <f>SUM(J31:M31)</f>
        <v>5218</v>
      </c>
      <c r="O31" s="188">
        <v>3603</v>
      </c>
      <c r="P31" s="188">
        <v>810</v>
      </c>
      <c r="Q31" s="184">
        <f>232</f>
        <v>232</v>
      </c>
      <c r="R31" s="184"/>
      <c r="S31" s="184">
        <f t="shared" si="10"/>
        <v>232</v>
      </c>
      <c r="T31" s="184">
        <v>3115</v>
      </c>
      <c r="U31" s="184"/>
      <c r="V31" s="184"/>
      <c r="W31" s="184">
        <f t="shared" si="11"/>
        <v>3115</v>
      </c>
      <c r="X31" s="185">
        <f t="shared" si="12"/>
        <v>7760</v>
      </c>
      <c r="Y31" s="184">
        <v>0</v>
      </c>
      <c r="Z31" s="184">
        <v>0</v>
      </c>
      <c r="AA31" s="184"/>
      <c r="AB31" s="184">
        <f t="shared" si="13"/>
        <v>0</v>
      </c>
      <c r="AC31" s="184"/>
      <c r="AD31" s="184"/>
      <c r="AE31" s="184">
        <f t="shared" si="14"/>
        <v>15493</v>
      </c>
      <c r="AF31" s="184">
        <f t="shared" si="15"/>
        <v>0</v>
      </c>
      <c r="AG31" s="184"/>
      <c r="AH31" s="184"/>
      <c r="AI31" s="28"/>
      <c r="AJ31" s="25"/>
      <c r="AK31" s="23"/>
      <c r="AL31" s="23"/>
      <c r="AM31" s="23"/>
      <c r="AN31" s="23"/>
      <c r="AO31" s="23"/>
      <c r="AP31" s="24">
        <f t="shared" si="16"/>
        <v>0</v>
      </c>
      <c r="AQ31" s="287"/>
    </row>
    <row r="32" spans="1:57" ht="45" customHeight="1" x14ac:dyDescent="0.8">
      <c r="A32" s="331" t="s">
        <v>381</v>
      </c>
      <c r="B32" s="332"/>
      <c r="C32" s="332"/>
      <c r="D32" s="332"/>
      <c r="E32" s="332"/>
      <c r="F32" s="332"/>
      <c r="G32" s="333"/>
      <c r="H32" s="37">
        <v>1086080.5848540764</v>
      </c>
      <c r="I32" s="37">
        <f t="shared" ref="I32:W32" si="17">SUM(I20:I31)</f>
        <v>89924.939691113424</v>
      </c>
      <c r="J32" s="37">
        <f t="shared" si="17"/>
        <v>134795.73607584235</v>
      </c>
      <c r="K32" s="37">
        <f t="shared" si="17"/>
        <v>21446.88869721743</v>
      </c>
      <c r="L32" s="37">
        <f t="shared" si="17"/>
        <v>138308.60479176327</v>
      </c>
      <c r="M32" s="37">
        <f t="shared" si="17"/>
        <v>21962.925598139955</v>
      </c>
      <c r="N32" s="37">
        <f t="shared" si="17"/>
        <v>316514.15516296303</v>
      </c>
      <c r="O32" s="37">
        <f t="shared" si="17"/>
        <v>81767</v>
      </c>
      <c r="P32" s="37">
        <f t="shared" si="17"/>
        <v>53089</v>
      </c>
      <c r="Q32" s="37">
        <f t="shared" si="17"/>
        <v>55831.43</v>
      </c>
      <c r="R32" s="37">
        <f t="shared" si="17"/>
        <v>91242</v>
      </c>
      <c r="S32" s="37">
        <f t="shared" si="17"/>
        <v>147073.43</v>
      </c>
      <c r="T32" s="37">
        <f t="shared" si="17"/>
        <v>4041</v>
      </c>
      <c r="U32" s="37">
        <f t="shared" si="17"/>
        <v>20942</v>
      </c>
      <c r="V32" s="37">
        <f t="shared" si="17"/>
        <v>990</v>
      </c>
      <c r="W32" s="37">
        <f t="shared" si="17"/>
        <v>25973</v>
      </c>
      <c r="X32" s="37">
        <f t="shared" si="12"/>
        <v>307902.43</v>
      </c>
      <c r="Y32" s="37">
        <f t="shared" ref="Y32:AQ32" si="18">SUM(Y20:Y31)</f>
        <v>41896</v>
      </c>
      <c r="Z32" s="37">
        <f t="shared" si="18"/>
        <v>18310.27</v>
      </c>
      <c r="AA32" s="37">
        <f t="shared" si="18"/>
        <v>21572.920755999097</v>
      </c>
      <c r="AB32" s="37">
        <f t="shared" si="18"/>
        <v>81779.190755999109</v>
      </c>
      <c r="AC32" s="37">
        <f t="shared" si="18"/>
        <v>29394.332131960087</v>
      </c>
      <c r="AD32" s="37">
        <f t="shared" si="18"/>
        <v>14777.2622813212</v>
      </c>
      <c r="AE32" s="37">
        <f t="shared" si="18"/>
        <v>840292.31002335681</v>
      </c>
      <c r="AF32" s="37">
        <f t="shared" si="18"/>
        <v>245788.27483071963</v>
      </c>
      <c r="AG32" s="37">
        <f t="shared" si="18"/>
        <v>311540</v>
      </c>
      <c r="AH32" s="55">
        <f t="shared" si="18"/>
        <v>312835</v>
      </c>
      <c r="AI32" s="55">
        <f t="shared" si="18"/>
        <v>312835</v>
      </c>
      <c r="AJ32" s="55">
        <f t="shared" si="18"/>
        <v>0</v>
      </c>
      <c r="AK32" s="55">
        <f t="shared" si="18"/>
        <v>54875</v>
      </c>
      <c r="AL32" s="55">
        <f t="shared" si="18"/>
        <v>82802</v>
      </c>
      <c r="AM32" s="55">
        <f t="shared" si="18"/>
        <v>87299</v>
      </c>
      <c r="AN32" s="55">
        <f t="shared" si="18"/>
        <v>22300</v>
      </c>
      <c r="AO32" s="55">
        <f t="shared" si="18"/>
        <v>65559</v>
      </c>
      <c r="AP32" s="55">
        <f t="shared" si="18"/>
        <v>312835</v>
      </c>
      <c r="AQ32" s="281">
        <f t="shared" si="18"/>
        <v>246838</v>
      </c>
    </row>
    <row r="33" spans="1:45" ht="45" customHeight="1" x14ac:dyDescent="0.8">
      <c r="A33" s="248">
        <v>2.2000000000000002</v>
      </c>
      <c r="B33" s="205" t="s">
        <v>382</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86"/>
    </row>
    <row r="34" spans="1:45" ht="45" customHeight="1" x14ac:dyDescent="1.1000000000000001">
      <c r="A34" s="54" t="s">
        <v>384</v>
      </c>
      <c r="B34" s="43" t="s">
        <v>385</v>
      </c>
      <c r="C34" s="42" t="s">
        <v>386</v>
      </c>
      <c r="D34" s="42" t="s">
        <v>387</v>
      </c>
      <c r="E34" s="42" t="s">
        <v>367</v>
      </c>
      <c r="F34" s="56" t="s">
        <v>321</v>
      </c>
      <c r="G34" s="56" t="s">
        <v>322</v>
      </c>
      <c r="H34" s="183">
        <v>0</v>
      </c>
      <c r="I34" s="187">
        <v>0</v>
      </c>
      <c r="J34" s="184">
        <v>0</v>
      </c>
      <c r="K34" s="184">
        <v>0</v>
      </c>
      <c r="L34" s="184">
        <v>0</v>
      </c>
      <c r="M34" s="184">
        <v>0</v>
      </c>
      <c r="N34" s="184">
        <f>SUM(J34:M34)</f>
        <v>0</v>
      </c>
      <c r="O34" s="184"/>
      <c r="P34" s="184"/>
      <c r="Q34" s="184"/>
      <c r="R34" s="184"/>
      <c r="S34" s="184">
        <f t="shared" ref="S34:S40" si="19">Q34+R34</f>
        <v>0</v>
      </c>
      <c r="T34" s="184"/>
      <c r="U34" s="184"/>
      <c r="V34" s="184"/>
      <c r="W34" s="184">
        <f t="shared" ref="W34:W40" si="20">T34+U34+V34</f>
        <v>0</v>
      </c>
      <c r="X34" s="185">
        <f t="shared" ref="X34:X41" si="21">W34+S34+P34+O34</f>
        <v>0</v>
      </c>
      <c r="Y34" s="184">
        <v>0</v>
      </c>
      <c r="Z34" s="184">
        <v>0</v>
      </c>
      <c r="AA34" s="184"/>
      <c r="AB34" s="184">
        <f t="shared" ref="AB34:AB40" si="22">Y34+Z34+AA34</f>
        <v>0</v>
      </c>
      <c r="AC34" s="184"/>
      <c r="AD34" s="184"/>
      <c r="AE34" s="184">
        <f t="shared" ref="AE34:AE40" si="23">I34+N34+X34+AB34+AC34+AD34</f>
        <v>0</v>
      </c>
      <c r="AF34" s="184">
        <f t="shared" ref="AF34:AF40" si="24">H34-(I34+N34+X34+AB34+AC34+AD34)</f>
        <v>0</v>
      </c>
      <c r="AG34" s="184"/>
      <c r="AH34" s="184"/>
      <c r="AI34" s="185"/>
      <c r="AJ34" s="185"/>
      <c r="AK34" s="48"/>
      <c r="AL34" s="48"/>
      <c r="AM34" s="48"/>
      <c r="AN34" s="48"/>
      <c r="AO34" s="48"/>
      <c r="AP34" s="183">
        <f t="shared" ref="AP34:AP40" si="25">AJ34+AK34+AL34+AM34+AN34+AO34</f>
        <v>0</v>
      </c>
      <c r="AQ34" s="274"/>
    </row>
    <row r="35" spans="1:45" ht="56.25" customHeight="1" x14ac:dyDescent="1.1000000000000001">
      <c r="A35" s="54" t="s">
        <v>388</v>
      </c>
      <c r="B35" s="43" t="s">
        <v>389</v>
      </c>
      <c r="C35" s="51" t="s">
        <v>390</v>
      </c>
      <c r="D35" s="42" t="s">
        <v>391</v>
      </c>
      <c r="E35" s="42" t="s">
        <v>392</v>
      </c>
      <c r="F35" s="56" t="s">
        <v>393</v>
      </c>
      <c r="G35" s="56" t="s">
        <v>394</v>
      </c>
      <c r="H35" s="183">
        <v>2444.3111077776944</v>
      </c>
      <c r="I35" s="187">
        <v>0</v>
      </c>
      <c r="J35" s="184">
        <v>0</v>
      </c>
      <c r="K35" s="184">
        <v>0</v>
      </c>
      <c r="L35" s="184">
        <v>2444.3111077776944</v>
      </c>
      <c r="M35" s="184">
        <v>0</v>
      </c>
      <c r="N35" s="184">
        <f>SUM(J35:M35)</f>
        <v>2444.3111077776944</v>
      </c>
      <c r="O35" s="184"/>
      <c r="P35" s="184"/>
      <c r="Q35" s="184"/>
      <c r="R35" s="184"/>
      <c r="S35" s="184">
        <f t="shared" si="19"/>
        <v>0</v>
      </c>
      <c r="T35" s="184"/>
      <c r="U35" s="184"/>
      <c r="V35" s="184"/>
      <c r="W35" s="184">
        <f t="shared" si="20"/>
        <v>0</v>
      </c>
      <c r="X35" s="185">
        <f t="shared" si="21"/>
        <v>0</v>
      </c>
      <c r="Y35" s="184">
        <v>0</v>
      </c>
      <c r="Z35" s="184">
        <v>0</v>
      </c>
      <c r="AA35" s="184"/>
      <c r="AB35" s="184">
        <f t="shared" si="22"/>
        <v>0</v>
      </c>
      <c r="AC35" s="184"/>
      <c r="AD35" s="184"/>
      <c r="AE35" s="184">
        <f t="shared" si="23"/>
        <v>2444.3111077776944</v>
      </c>
      <c r="AF35" s="184">
        <f t="shared" si="24"/>
        <v>0</v>
      </c>
      <c r="AG35" s="184"/>
      <c r="AH35" s="184"/>
      <c r="AI35" s="210"/>
      <c r="AJ35" s="211"/>
      <c r="AK35" s="48"/>
      <c r="AL35" s="48"/>
      <c r="AM35" s="48"/>
      <c r="AN35" s="48"/>
      <c r="AO35" s="48"/>
      <c r="AP35" s="183">
        <f t="shared" si="25"/>
        <v>0</v>
      </c>
      <c r="AQ35" s="274"/>
    </row>
    <row r="36" spans="1:45" ht="45" customHeight="1" x14ac:dyDescent="1.1000000000000001">
      <c r="A36" s="54" t="s">
        <v>395</v>
      </c>
      <c r="B36" s="43" t="s">
        <v>396</v>
      </c>
      <c r="C36" s="51" t="s">
        <v>397</v>
      </c>
      <c r="D36" s="42" t="s">
        <v>398</v>
      </c>
      <c r="E36" s="42" t="s">
        <v>399</v>
      </c>
      <c r="F36" s="56" t="s">
        <v>400</v>
      </c>
      <c r="G36" s="56" t="s">
        <v>401</v>
      </c>
      <c r="H36" s="183">
        <v>5238</v>
      </c>
      <c r="I36" s="187">
        <v>0</v>
      </c>
      <c r="J36" s="184">
        <v>3224</v>
      </c>
      <c r="K36" s="184">
        <v>0</v>
      </c>
      <c r="L36" s="184">
        <v>0</v>
      </c>
      <c r="M36" s="184">
        <v>0</v>
      </c>
      <c r="N36" s="184">
        <f>SUM(J36:M36)</f>
        <v>3224</v>
      </c>
      <c r="O36" s="184"/>
      <c r="P36" s="184">
        <v>2014</v>
      </c>
      <c r="Q36" s="184"/>
      <c r="R36" s="184"/>
      <c r="S36" s="184">
        <f t="shared" si="19"/>
        <v>0</v>
      </c>
      <c r="T36" s="184"/>
      <c r="U36" s="184"/>
      <c r="V36" s="184"/>
      <c r="W36" s="184">
        <f t="shared" si="20"/>
        <v>0</v>
      </c>
      <c r="X36" s="185">
        <f t="shared" si="21"/>
        <v>2014</v>
      </c>
      <c r="Y36" s="184">
        <v>0</v>
      </c>
      <c r="Z36" s="184">
        <v>0</v>
      </c>
      <c r="AA36" s="184"/>
      <c r="AB36" s="184">
        <f t="shared" si="22"/>
        <v>0</v>
      </c>
      <c r="AC36" s="184"/>
      <c r="AD36" s="184"/>
      <c r="AE36" s="184">
        <f t="shared" si="23"/>
        <v>5238</v>
      </c>
      <c r="AF36" s="184">
        <f t="shared" si="24"/>
        <v>0</v>
      </c>
      <c r="AG36" s="184"/>
      <c r="AH36" s="184"/>
      <c r="AI36" s="57"/>
      <c r="AJ36" s="211"/>
      <c r="AK36" s="48"/>
      <c r="AL36" s="48"/>
      <c r="AM36" s="48"/>
      <c r="AN36" s="48"/>
      <c r="AO36" s="48"/>
      <c r="AP36" s="183">
        <f t="shared" si="25"/>
        <v>0</v>
      </c>
      <c r="AQ36" s="274"/>
    </row>
    <row r="37" spans="1:45" ht="45" customHeight="1" x14ac:dyDescent="1.1000000000000001">
      <c r="A37" s="54" t="s">
        <v>402</v>
      </c>
      <c r="B37" s="43" t="s">
        <v>403</v>
      </c>
      <c r="C37" s="43" t="s">
        <v>404</v>
      </c>
      <c r="D37" s="42" t="s">
        <v>405</v>
      </c>
      <c r="E37" s="42" t="s">
        <v>399</v>
      </c>
      <c r="F37" s="56"/>
      <c r="G37" s="56"/>
      <c r="H37" s="183">
        <v>0</v>
      </c>
      <c r="I37" s="187"/>
      <c r="J37" s="184"/>
      <c r="K37" s="184"/>
      <c r="L37" s="184"/>
      <c r="M37" s="184"/>
      <c r="N37" s="184"/>
      <c r="O37" s="184"/>
      <c r="P37" s="184"/>
      <c r="Q37" s="184"/>
      <c r="R37" s="184"/>
      <c r="S37" s="184">
        <f t="shared" si="19"/>
        <v>0</v>
      </c>
      <c r="T37" s="184"/>
      <c r="U37" s="184"/>
      <c r="V37" s="184"/>
      <c r="W37" s="184">
        <f t="shared" si="20"/>
        <v>0</v>
      </c>
      <c r="X37" s="185">
        <f t="shared" si="21"/>
        <v>0</v>
      </c>
      <c r="Y37" s="184">
        <v>0</v>
      </c>
      <c r="Z37" s="184">
        <v>0</v>
      </c>
      <c r="AA37" s="184"/>
      <c r="AB37" s="184">
        <f t="shared" si="22"/>
        <v>0</v>
      </c>
      <c r="AC37" s="184"/>
      <c r="AD37" s="184"/>
      <c r="AE37" s="184">
        <f t="shared" si="23"/>
        <v>0</v>
      </c>
      <c r="AF37" s="184">
        <f t="shared" si="24"/>
        <v>0</v>
      </c>
      <c r="AG37" s="184"/>
      <c r="AH37" s="184"/>
      <c r="AI37" s="57"/>
      <c r="AJ37" s="211"/>
      <c r="AK37" s="48"/>
      <c r="AL37" s="48"/>
      <c r="AM37" s="48"/>
      <c r="AN37" s="48"/>
      <c r="AO37" s="48"/>
      <c r="AP37" s="183">
        <f t="shared" si="25"/>
        <v>0</v>
      </c>
      <c r="AQ37" s="274"/>
    </row>
    <row r="38" spans="1:45" ht="45" customHeight="1" x14ac:dyDescent="1.1000000000000001">
      <c r="A38" s="54" t="s">
        <v>406</v>
      </c>
      <c r="B38" s="58" t="s">
        <v>407</v>
      </c>
      <c r="C38" s="59" t="s">
        <v>408</v>
      </c>
      <c r="D38" s="42" t="s">
        <v>391</v>
      </c>
      <c r="E38" s="42" t="s">
        <v>367</v>
      </c>
      <c r="F38" s="60" t="s">
        <v>409</v>
      </c>
      <c r="G38" s="60" t="s">
        <v>410</v>
      </c>
      <c r="H38" s="183">
        <v>12115</v>
      </c>
      <c r="I38" s="187">
        <v>0</v>
      </c>
      <c r="J38" s="184">
        <v>0</v>
      </c>
      <c r="K38" s="184">
        <v>0</v>
      </c>
      <c r="L38" s="184">
        <v>0</v>
      </c>
      <c r="M38" s="184">
        <v>0</v>
      </c>
      <c r="N38" s="184">
        <f>SUM(J38:M38)</f>
        <v>0</v>
      </c>
      <c r="O38" s="184">
        <v>270</v>
      </c>
      <c r="P38" s="184">
        <v>5456</v>
      </c>
      <c r="Q38" s="184"/>
      <c r="R38" s="184">
        <v>1222</v>
      </c>
      <c r="S38" s="184">
        <f t="shared" si="19"/>
        <v>1222</v>
      </c>
      <c r="T38" s="184"/>
      <c r="U38" s="184">
        <v>1284</v>
      </c>
      <c r="V38" s="184"/>
      <c r="W38" s="184">
        <f t="shared" si="20"/>
        <v>1284</v>
      </c>
      <c r="X38" s="185">
        <f t="shared" si="21"/>
        <v>8232</v>
      </c>
      <c r="Y38" s="184">
        <v>0</v>
      </c>
      <c r="Z38" s="184">
        <v>0</v>
      </c>
      <c r="AA38" s="184"/>
      <c r="AB38" s="184">
        <f t="shared" si="22"/>
        <v>0</v>
      </c>
      <c r="AC38" s="184"/>
      <c r="AD38" s="184"/>
      <c r="AE38" s="184">
        <f t="shared" si="23"/>
        <v>8232</v>
      </c>
      <c r="AF38" s="184">
        <f t="shared" si="24"/>
        <v>3883</v>
      </c>
      <c r="AG38" s="184">
        <f>9694-5811</f>
        <v>3883</v>
      </c>
      <c r="AH38" s="184">
        <v>3883</v>
      </c>
      <c r="AI38" s="185">
        <v>3883</v>
      </c>
      <c r="AJ38" s="184"/>
      <c r="AK38" s="211"/>
      <c r="AL38" s="48">
        <v>3883</v>
      </c>
      <c r="AM38" s="48"/>
      <c r="AN38" s="48"/>
      <c r="AO38" s="48"/>
      <c r="AP38" s="183">
        <f t="shared" si="25"/>
        <v>3883</v>
      </c>
      <c r="AQ38" s="274">
        <v>3883</v>
      </c>
    </row>
    <row r="39" spans="1:45" ht="45" customHeight="1" x14ac:dyDescent="1.1000000000000001">
      <c r="A39" s="54" t="s">
        <v>411</v>
      </c>
      <c r="B39" s="43" t="s">
        <v>412</v>
      </c>
      <c r="C39" s="59" t="s">
        <v>413</v>
      </c>
      <c r="D39" s="42" t="s">
        <v>387</v>
      </c>
      <c r="E39" s="42" t="s">
        <v>392</v>
      </c>
      <c r="F39" s="56" t="s">
        <v>414</v>
      </c>
      <c r="G39" s="56" t="s">
        <v>415</v>
      </c>
      <c r="H39" s="183">
        <v>9487.9419485487142</v>
      </c>
      <c r="I39" s="184">
        <v>0</v>
      </c>
      <c r="J39" s="184">
        <v>0</v>
      </c>
      <c r="K39" s="184">
        <v>0</v>
      </c>
      <c r="L39" s="184">
        <v>2957.9419485487138</v>
      </c>
      <c r="M39" s="184">
        <v>0</v>
      </c>
      <c r="N39" s="184">
        <f>SUM(J39:M39)</f>
        <v>2957.9419485487138</v>
      </c>
      <c r="O39" s="184">
        <v>2330</v>
      </c>
      <c r="P39" s="184"/>
      <c r="Q39" s="184"/>
      <c r="R39" s="184"/>
      <c r="S39" s="184">
        <f t="shared" si="19"/>
        <v>0</v>
      </c>
      <c r="T39" s="184"/>
      <c r="U39" s="184"/>
      <c r="V39" s="184"/>
      <c r="W39" s="184">
        <f t="shared" si="20"/>
        <v>0</v>
      </c>
      <c r="X39" s="185">
        <f t="shared" si="21"/>
        <v>2330</v>
      </c>
      <c r="Y39" s="184">
        <v>0</v>
      </c>
      <c r="Z39" s="184">
        <v>0</v>
      </c>
      <c r="AA39" s="184"/>
      <c r="AB39" s="184">
        <f t="shared" si="22"/>
        <v>0</v>
      </c>
      <c r="AC39" s="184"/>
      <c r="AD39" s="184"/>
      <c r="AE39" s="184">
        <f t="shared" si="23"/>
        <v>5287.9419485487142</v>
      </c>
      <c r="AF39" s="184">
        <f t="shared" si="24"/>
        <v>4200</v>
      </c>
      <c r="AG39" s="184">
        <v>4200</v>
      </c>
      <c r="AH39" s="184">
        <v>4200</v>
      </c>
      <c r="AI39" s="185">
        <v>4200</v>
      </c>
      <c r="AJ39" s="184"/>
      <c r="AK39" s="48">
        <v>1050</v>
      </c>
      <c r="AL39" s="48">
        <v>1050</v>
      </c>
      <c r="AM39" s="48">
        <v>1050</v>
      </c>
      <c r="AN39" s="48">
        <v>1050</v>
      </c>
      <c r="AO39" s="48"/>
      <c r="AP39" s="183">
        <f t="shared" si="25"/>
        <v>4200</v>
      </c>
      <c r="AQ39" s="274">
        <v>4200</v>
      </c>
    </row>
    <row r="40" spans="1:45" s="61" customFormat="1" ht="45" customHeight="1" x14ac:dyDescent="1.1000000000000001">
      <c r="A40" s="179" t="s">
        <v>416</v>
      </c>
      <c r="B40" s="200" t="s">
        <v>412</v>
      </c>
      <c r="C40" s="179" t="s">
        <v>417</v>
      </c>
      <c r="D40" s="183" t="s">
        <v>418</v>
      </c>
      <c r="E40" s="183"/>
      <c r="F40" s="183" t="s">
        <v>419</v>
      </c>
      <c r="G40" s="183" t="s">
        <v>420</v>
      </c>
      <c r="H40" s="183">
        <v>10000</v>
      </c>
      <c r="I40" s="184">
        <v>0</v>
      </c>
      <c r="J40" s="184">
        <v>0</v>
      </c>
      <c r="K40" s="184">
        <v>0</v>
      </c>
      <c r="L40" s="184">
        <v>0</v>
      </c>
      <c r="M40" s="184">
        <v>10000</v>
      </c>
      <c r="N40" s="184">
        <f>SUM(J40:M40)</f>
        <v>10000</v>
      </c>
      <c r="O40" s="184"/>
      <c r="P40" s="184"/>
      <c r="Q40" s="184"/>
      <c r="R40" s="184"/>
      <c r="S40" s="184">
        <f t="shared" si="19"/>
        <v>0</v>
      </c>
      <c r="T40" s="184"/>
      <c r="U40" s="184"/>
      <c r="V40" s="184"/>
      <c r="W40" s="184">
        <f t="shared" si="20"/>
        <v>0</v>
      </c>
      <c r="X40" s="185">
        <f t="shared" si="21"/>
        <v>0</v>
      </c>
      <c r="Y40" s="184">
        <v>0</v>
      </c>
      <c r="Z40" s="184">
        <v>0</v>
      </c>
      <c r="AA40" s="184"/>
      <c r="AB40" s="184">
        <f t="shared" si="22"/>
        <v>0</v>
      </c>
      <c r="AC40" s="184"/>
      <c r="AD40" s="184"/>
      <c r="AE40" s="184">
        <f t="shared" si="23"/>
        <v>10000</v>
      </c>
      <c r="AF40" s="184">
        <f t="shared" si="24"/>
        <v>0</v>
      </c>
      <c r="AG40" s="184"/>
      <c r="AH40" s="184"/>
      <c r="AI40" s="185"/>
      <c r="AJ40" s="184"/>
      <c r="AK40" s="48"/>
      <c r="AL40" s="48"/>
      <c r="AM40" s="48"/>
      <c r="AN40" s="48"/>
      <c r="AO40" s="48"/>
      <c r="AP40" s="183">
        <f t="shared" si="25"/>
        <v>0</v>
      </c>
      <c r="AQ40" s="268"/>
      <c r="AR40" s="285"/>
      <c r="AS40" s="285"/>
    </row>
    <row r="41" spans="1:45" ht="45" customHeight="1" x14ac:dyDescent="0.8">
      <c r="A41" s="327" t="s">
        <v>421</v>
      </c>
      <c r="B41" s="327"/>
      <c r="C41" s="327"/>
      <c r="D41" s="327"/>
      <c r="E41" s="327"/>
      <c r="F41" s="327"/>
      <c r="G41" s="327"/>
      <c r="H41" s="62">
        <v>39285.253056326408</v>
      </c>
      <c r="I41" s="62">
        <f t="shared" ref="I41:W41" si="26">SUM(I34:I40)</f>
        <v>0</v>
      </c>
      <c r="J41" s="62">
        <f t="shared" si="26"/>
        <v>3224</v>
      </c>
      <c r="K41" s="62">
        <f t="shared" si="26"/>
        <v>0</v>
      </c>
      <c r="L41" s="62">
        <f t="shared" si="26"/>
        <v>5402.2530563264081</v>
      </c>
      <c r="M41" s="62">
        <f t="shared" si="26"/>
        <v>10000</v>
      </c>
      <c r="N41" s="62">
        <f t="shared" si="26"/>
        <v>18626.253056326408</v>
      </c>
      <c r="O41" s="62">
        <f t="shared" si="26"/>
        <v>2600</v>
      </c>
      <c r="P41" s="62">
        <f t="shared" si="26"/>
        <v>7470</v>
      </c>
      <c r="Q41" s="62">
        <f t="shared" si="26"/>
        <v>0</v>
      </c>
      <c r="R41" s="62">
        <f t="shared" si="26"/>
        <v>1222</v>
      </c>
      <c r="S41" s="62">
        <f t="shared" si="26"/>
        <v>1222</v>
      </c>
      <c r="T41" s="62">
        <f t="shared" si="26"/>
        <v>0</v>
      </c>
      <c r="U41" s="62">
        <f t="shared" si="26"/>
        <v>1284</v>
      </c>
      <c r="V41" s="62">
        <f t="shared" si="26"/>
        <v>0</v>
      </c>
      <c r="W41" s="62">
        <f t="shared" si="26"/>
        <v>1284</v>
      </c>
      <c r="X41" s="62">
        <f t="shared" si="21"/>
        <v>12576</v>
      </c>
      <c r="Y41" s="63">
        <v>0</v>
      </c>
      <c r="Z41" s="63">
        <v>0</v>
      </c>
      <c r="AA41" s="62">
        <f t="shared" ref="AA41:AQ41" si="27">SUM(AA34:AA40)</f>
        <v>0</v>
      </c>
      <c r="AB41" s="62">
        <f t="shared" si="27"/>
        <v>0</v>
      </c>
      <c r="AC41" s="62">
        <f t="shared" si="27"/>
        <v>0</v>
      </c>
      <c r="AD41" s="62">
        <f t="shared" si="27"/>
        <v>0</v>
      </c>
      <c r="AE41" s="62">
        <f t="shared" si="27"/>
        <v>31202.253056326408</v>
      </c>
      <c r="AF41" s="62">
        <f t="shared" si="27"/>
        <v>8083</v>
      </c>
      <c r="AG41" s="62">
        <f t="shared" si="27"/>
        <v>8083</v>
      </c>
      <c r="AH41" s="212">
        <f t="shared" si="27"/>
        <v>8083</v>
      </c>
      <c r="AI41" s="212">
        <f t="shared" si="27"/>
        <v>8083</v>
      </c>
      <c r="AJ41" s="212">
        <f t="shared" si="27"/>
        <v>0</v>
      </c>
      <c r="AK41" s="212">
        <f t="shared" si="27"/>
        <v>1050</v>
      </c>
      <c r="AL41" s="212">
        <f t="shared" si="27"/>
        <v>4933</v>
      </c>
      <c r="AM41" s="212">
        <f t="shared" si="27"/>
        <v>1050</v>
      </c>
      <c r="AN41" s="212">
        <f t="shared" si="27"/>
        <v>1050</v>
      </c>
      <c r="AO41" s="212">
        <f t="shared" si="27"/>
        <v>0</v>
      </c>
      <c r="AP41" s="212">
        <f t="shared" si="27"/>
        <v>8083</v>
      </c>
      <c r="AQ41" s="284">
        <f t="shared" si="27"/>
        <v>8083</v>
      </c>
    </row>
    <row r="42" spans="1:45" ht="45" customHeight="1" x14ac:dyDescent="0.8">
      <c r="A42" s="246">
        <v>2.2999999999999998</v>
      </c>
      <c r="B42" s="213" t="s">
        <v>422</v>
      </c>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83"/>
    </row>
    <row r="43" spans="1:45" ht="45" customHeight="1" x14ac:dyDescent="1.1000000000000001">
      <c r="A43" s="54" t="s">
        <v>423</v>
      </c>
      <c r="B43" s="51" t="s">
        <v>424</v>
      </c>
      <c r="C43" s="42" t="s">
        <v>425</v>
      </c>
      <c r="D43" s="42" t="s">
        <v>426</v>
      </c>
      <c r="E43" s="42" t="s">
        <v>392</v>
      </c>
      <c r="F43" s="56" t="s">
        <v>427</v>
      </c>
      <c r="G43" s="56" t="s">
        <v>428</v>
      </c>
      <c r="H43" s="183">
        <v>34749.263295856203</v>
      </c>
      <c r="I43" s="215">
        <v>0</v>
      </c>
      <c r="J43" s="215">
        <v>10632.558803243885</v>
      </c>
      <c r="K43" s="215">
        <v>0</v>
      </c>
      <c r="L43" s="215">
        <v>10549.189979749493</v>
      </c>
      <c r="M43" s="215">
        <v>3180.5145128628219</v>
      </c>
      <c r="N43" s="184">
        <f>SUM(J43:M43)</f>
        <v>24362.263295856199</v>
      </c>
      <c r="O43" s="188">
        <v>10387</v>
      </c>
      <c r="P43" s="216"/>
      <c r="Q43" s="217"/>
      <c r="R43" s="215"/>
      <c r="S43" s="215">
        <f>Q43+R43</f>
        <v>0</v>
      </c>
      <c r="T43" s="215"/>
      <c r="U43" s="215"/>
      <c r="V43" s="215"/>
      <c r="W43" s="184">
        <f>T43+U43+V43</f>
        <v>0</v>
      </c>
      <c r="X43" s="185">
        <f>W43+S43+P43+O43</f>
        <v>10387</v>
      </c>
      <c r="Y43" s="184">
        <v>0</v>
      </c>
      <c r="Z43" s="184">
        <v>0</v>
      </c>
      <c r="AA43" s="184"/>
      <c r="AB43" s="184">
        <f>Y43+Z43+AA43</f>
        <v>0</v>
      </c>
      <c r="AC43" s="184"/>
      <c r="AD43" s="184"/>
      <c r="AE43" s="184">
        <f>I43+N43+X43+AB43+AC43+AD43</f>
        <v>34749.263295856203</v>
      </c>
      <c r="AF43" s="184">
        <f>H43-(I43+N43+X43+AB43+AC43+AD43)</f>
        <v>0</v>
      </c>
      <c r="AG43" s="184"/>
      <c r="AH43" s="184"/>
      <c r="AI43" s="218"/>
      <c r="AJ43" s="217"/>
      <c r="AK43" s="48"/>
      <c r="AL43" s="48"/>
      <c r="AM43" s="48"/>
      <c r="AN43" s="48"/>
      <c r="AO43" s="48"/>
      <c r="AP43" s="183">
        <f>AJ43+AK43+AL43+AM43+AN43+AO43</f>
        <v>0</v>
      </c>
      <c r="AQ43" s="282"/>
    </row>
    <row r="44" spans="1:45" ht="45" customHeight="1" x14ac:dyDescent="1.1000000000000001">
      <c r="A44" s="54" t="s">
        <v>429</v>
      </c>
      <c r="B44" s="51" t="s">
        <v>430</v>
      </c>
      <c r="C44" s="51" t="s">
        <v>431</v>
      </c>
      <c r="D44" s="42" t="s">
        <v>432</v>
      </c>
      <c r="E44" s="42"/>
      <c r="F44" s="64" t="s">
        <v>433</v>
      </c>
      <c r="G44" s="64" t="s">
        <v>433</v>
      </c>
      <c r="H44" s="183">
        <v>0</v>
      </c>
      <c r="I44" s="187">
        <v>0</v>
      </c>
      <c r="J44" s="184">
        <v>0</v>
      </c>
      <c r="K44" s="184">
        <v>0</v>
      </c>
      <c r="L44" s="184">
        <v>0</v>
      </c>
      <c r="M44" s="184">
        <v>0</v>
      </c>
      <c r="N44" s="184">
        <f>SUM(J44:M44)</f>
        <v>0</v>
      </c>
      <c r="O44" s="219"/>
      <c r="P44" s="219"/>
      <c r="Q44" s="187"/>
      <c r="R44" s="184"/>
      <c r="S44" s="215">
        <f>Q44+R44</f>
        <v>0</v>
      </c>
      <c r="T44" s="184"/>
      <c r="U44" s="184"/>
      <c r="V44" s="184"/>
      <c r="W44" s="184">
        <f>T44+U44+V44</f>
        <v>0</v>
      </c>
      <c r="X44" s="185">
        <f>W44+S44+P44+O44</f>
        <v>0</v>
      </c>
      <c r="Y44" s="184">
        <v>0</v>
      </c>
      <c r="Z44" s="184">
        <v>0</v>
      </c>
      <c r="AA44" s="184"/>
      <c r="AB44" s="184">
        <f>Y44+Z44+AA44</f>
        <v>0</v>
      </c>
      <c r="AC44" s="184"/>
      <c r="AD44" s="184"/>
      <c r="AE44" s="184">
        <f>I44+N44+X44+AB44+AC44+AD44</f>
        <v>0</v>
      </c>
      <c r="AF44" s="184">
        <f>H44-(I44+N44+X44+AB44+AC44+AD44)</f>
        <v>0</v>
      </c>
      <c r="AG44" s="184"/>
      <c r="AH44" s="184"/>
      <c r="AI44" s="183"/>
      <c r="AJ44" s="187"/>
      <c r="AK44" s="48"/>
      <c r="AL44" s="48"/>
      <c r="AM44" s="48"/>
      <c r="AN44" s="48"/>
      <c r="AO44" s="48"/>
      <c r="AP44" s="183">
        <f>AJ44+AK44+AL44+AM44+AN44+AO44</f>
        <v>0</v>
      </c>
      <c r="AQ44" s="282"/>
    </row>
    <row r="45" spans="1:45" ht="45" customHeight="1" x14ac:dyDescent="0.8">
      <c r="A45" s="326" t="s">
        <v>434</v>
      </c>
      <c r="B45" s="326"/>
      <c r="C45" s="326"/>
      <c r="D45" s="326"/>
      <c r="E45" s="326"/>
      <c r="F45" s="326"/>
      <c r="G45" s="326"/>
      <c r="H45" s="65">
        <v>34749.263295856203</v>
      </c>
      <c r="I45" s="65">
        <f t="shared" ref="I45:W45" si="28">SUM(I43:I44)</f>
        <v>0</v>
      </c>
      <c r="J45" s="65">
        <f t="shared" si="28"/>
        <v>10632.558803243885</v>
      </c>
      <c r="K45" s="65">
        <f t="shared" si="28"/>
        <v>0</v>
      </c>
      <c r="L45" s="65">
        <f t="shared" si="28"/>
        <v>10549.189979749493</v>
      </c>
      <c r="M45" s="65">
        <f t="shared" si="28"/>
        <v>3180.5145128628219</v>
      </c>
      <c r="N45" s="65">
        <f t="shared" si="28"/>
        <v>24362.263295856199</v>
      </c>
      <c r="O45" s="65">
        <f t="shared" si="28"/>
        <v>10387</v>
      </c>
      <c r="P45" s="65">
        <f t="shared" si="28"/>
        <v>0</v>
      </c>
      <c r="Q45" s="65">
        <f t="shared" si="28"/>
        <v>0</v>
      </c>
      <c r="R45" s="65">
        <f t="shared" si="28"/>
        <v>0</v>
      </c>
      <c r="S45" s="65">
        <f t="shared" si="28"/>
        <v>0</v>
      </c>
      <c r="T45" s="65">
        <f t="shared" si="28"/>
        <v>0</v>
      </c>
      <c r="U45" s="65">
        <f t="shared" si="28"/>
        <v>0</v>
      </c>
      <c r="V45" s="65">
        <f t="shared" si="28"/>
        <v>0</v>
      </c>
      <c r="W45" s="65">
        <f t="shared" si="28"/>
        <v>0</v>
      </c>
      <c r="X45" s="65">
        <f>W45+S45+P45+O45</f>
        <v>10387</v>
      </c>
      <c r="Y45" s="65">
        <f t="shared" ref="Y45:AQ45" si="29">SUM(Y43:Y44)</f>
        <v>0</v>
      </c>
      <c r="Z45" s="65">
        <f t="shared" si="29"/>
        <v>0</v>
      </c>
      <c r="AA45" s="65">
        <f t="shared" si="29"/>
        <v>0</v>
      </c>
      <c r="AB45" s="65">
        <f t="shared" si="29"/>
        <v>0</v>
      </c>
      <c r="AC45" s="65">
        <f t="shared" si="29"/>
        <v>0</v>
      </c>
      <c r="AD45" s="65">
        <f t="shared" si="29"/>
        <v>0</v>
      </c>
      <c r="AE45" s="65">
        <f t="shared" si="29"/>
        <v>34749.263295856203</v>
      </c>
      <c r="AF45" s="65">
        <f t="shared" si="29"/>
        <v>0</v>
      </c>
      <c r="AG45" s="65">
        <f t="shared" si="29"/>
        <v>0</v>
      </c>
      <c r="AH45" s="65">
        <f t="shared" si="29"/>
        <v>0</v>
      </c>
      <c r="AI45" s="65">
        <f t="shared" si="29"/>
        <v>0</v>
      </c>
      <c r="AJ45" s="65">
        <f t="shared" si="29"/>
        <v>0</v>
      </c>
      <c r="AK45" s="65">
        <f t="shared" si="29"/>
        <v>0</v>
      </c>
      <c r="AL45" s="65">
        <f t="shared" si="29"/>
        <v>0</v>
      </c>
      <c r="AM45" s="65">
        <f t="shared" si="29"/>
        <v>0</v>
      </c>
      <c r="AN45" s="65">
        <f t="shared" si="29"/>
        <v>0</v>
      </c>
      <c r="AO45" s="65">
        <f t="shared" si="29"/>
        <v>0</v>
      </c>
      <c r="AP45" s="65">
        <f t="shared" si="29"/>
        <v>0</v>
      </c>
      <c r="AQ45" s="267">
        <f t="shared" si="29"/>
        <v>0</v>
      </c>
    </row>
    <row r="46" spans="1:45" s="50" customFormat="1" ht="45" customHeight="1" x14ac:dyDescent="0.8">
      <c r="A46" s="334" t="s">
        <v>435</v>
      </c>
      <c r="B46" s="334"/>
      <c r="C46" s="334"/>
      <c r="D46" s="334"/>
      <c r="E46" s="334" t="s">
        <v>435</v>
      </c>
      <c r="F46" s="334"/>
      <c r="G46" s="334"/>
      <c r="H46" s="37">
        <v>1160115.1012062591</v>
      </c>
      <c r="I46" s="37">
        <f t="shared" ref="I46:AQ46" si="30">I32+I41+I45</f>
        <v>89924.939691113424</v>
      </c>
      <c r="J46" s="37">
        <f t="shared" si="30"/>
        <v>148652.29487908623</v>
      </c>
      <c r="K46" s="37">
        <f t="shared" si="30"/>
        <v>21446.88869721743</v>
      </c>
      <c r="L46" s="37">
        <f t="shared" si="30"/>
        <v>154260.04782783918</v>
      </c>
      <c r="M46" s="37">
        <f t="shared" si="30"/>
        <v>35143.440111002776</v>
      </c>
      <c r="N46" s="37">
        <f t="shared" si="30"/>
        <v>359502.67151514563</v>
      </c>
      <c r="O46" s="37">
        <f t="shared" si="30"/>
        <v>94754</v>
      </c>
      <c r="P46" s="37">
        <f t="shared" si="30"/>
        <v>60559</v>
      </c>
      <c r="Q46" s="37">
        <f t="shared" si="30"/>
        <v>55831.43</v>
      </c>
      <c r="R46" s="37">
        <f t="shared" si="30"/>
        <v>92464</v>
      </c>
      <c r="S46" s="37">
        <f t="shared" si="30"/>
        <v>148295.43</v>
      </c>
      <c r="T46" s="37">
        <f t="shared" si="30"/>
        <v>4041</v>
      </c>
      <c r="U46" s="37">
        <f t="shared" si="30"/>
        <v>22226</v>
      </c>
      <c r="V46" s="37">
        <f t="shared" si="30"/>
        <v>990</v>
      </c>
      <c r="W46" s="37">
        <f t="shared" si="30"/>
        <v>27257</v>
      </c>
      <c r="X46" s="37">
        <f t="shared" si="30"/>
        <v>330865.43</v>
      </c>
      <c r="Y46" s="37">
        <f t="shared" si="30"/>
        <v>41896</v>
      </c>
      <c r="Z46" s="37">
        <f t="shared" si="30"/>
        <v>18310.27</v>
      </c>
      <c r="AA46" s="37">
        <f t="shared" si="30"/>
        <v>21572.920755999097</v>
      </c>
      <c r="AB46" s="37">
        <f t="shared" si="30"/>
        <v>81779.190755999109</v>
      </c>
      <c r="AC46" s="37">
        <f t="shared" si="30"/>
        <v>29394.332131960087</v>
      </c>
      <c r="AD46" s="37">
        <f t="shared" si="30"/>
        <v>14777.2622813212</v>
      </c>
      <c r="AE46" s="37">
        <f t="shared" si="30"/>
        <v>906243.82637553941</v>
      </c>
      <c r="AF46" s="37">
        <f t="shared" si="30"/>
        <v>253871.27483071963</v>
      </c>
      <c r="AG46" s="37">
        <f t="shared" si="30"/>
        <v>319623</v>
      </c>
      <c r="AH46" s="37">
        <f t="shared" si="30"/>
        <v>320918</v>
      </c>
      <c r="AI46" s="37">
        <f t="shared" si="30"/>
        <v>320918</v>
      </c>
      <c r="AJ46" s="37">
        <f t="shared" si="30"/>
        <v>0</v>
      </c>
      <c r="AK46" s="37">
        <f t="shared" si="30"/>
        <v>55925</v>
      </c>
      <c r="AL46" s="37">
        <f t="shared" si="30"/>
        <v>87735</v>
      </c>
      <c r="AM46" s="37">
        <f t="shared" si="30"/>
        <v>88349</v>
      </c>
      <c r="AN46" s="37">
        <f t="shared" si="30"/>
        <v>23350</v>
      </c>
      <c r="AO46" s="37">
        <f t="shared" si="30"/>
        <v>65559</v>
      </c>
      <c r="AP46" s="37">
        <f t="shared" si="30"/>
        <v>320918</v>
      </c>
      <c r="AQ46" s="281">
        <f t="shared" si="30"/>
        <v>254921</v>
      </c>
      <c r="AR46" s="280"/>
      <c r="AS46" s="280"/>
    </row>
    <row r="47" spans="1:45" ht="51" customHeight="1" x14ac:dyDescent="0.8">
      <c r="A47" s="220" t="s">
        <v>436</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79"/>
    </row>
    <row r="48" spans="1:45" ht="45" customHeight="1" x14ac:dyDescent="0.8">
      <c r="A48" s="66">
        <v>3.1</v>
      </c>
      <c r="B48" s="335" t="s">
        <v>437</v>
      </c>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222"/>
      <c r="AI48" s="222"/>
      <c r="AJ48" s="222"/>
      <c r="AK48" s="222"/>
      <c r="AL48" s="222"/>
      <c r="AM48" s="222"/>
      <c r="AN48" s="222"/>
      <c r="AO48" s="222"/>
      <c r="AP48" s="222"/>
      <c r="AQ48" s="272"/>
    </row>
    <row r="49" spans="1:46" ht="45" customHeight="1" x14ac:dyDescent="1.1000000000000001">
      <c r="A49" s="54" t="s">
        <v>438</v>
      </c>
      <c r="B49" s="67" t="s">
        <v>439</v>
      </c>
      <c r="C49" s="68" t="s">
        <v>440</v>
      </c>
      <c r="D49" s="42" t="s">
        <v>441</v>
      </c>
      <c r="E49" s="42" t="s">
        <v>442</v>
      </c>
      <c r="F49" s="60" t="s">
        <v>443</v>
      </c>
      <c r="G49" s="60" t="s">
        <v>444</v>
      </c>
      <c r="H49" s="183">
        <v>0</v>
      </c>
      <c r="I49" s="187">
        <v>0</v>
      </c>
      <c r="J49" s="184">
        <v>0</v>
      </c>
      <c r="K49" s="184">
        <v>0</v>
      </c>
      <c r="L49" s="184">
        <v>0</v>
      </c>
      <c r="M49" s="184">
        <v>0</v>
      </c>
      <c r="N49" s="184">
        <f>SUM(J49:M49)</f>
        <v>0</v>
      </c>
      <c r="O49" s="185"/>
      <c r="P49" s="185"/>
      <c r="Q49" s="187"/>
      <c r="R49" s="184"/>
      <c r="S49" s="184">
        <f t="shared" ref="S49:S77" si="31">Q49+R49</f>
        <v>0</v>
      </c>
      <c r="T49" s="184"/>
      <c r="U49" s="184"/>
      <c r="V49" s="184"/>
      <c r="W49" s="184">
        <f t="shared" ref="W49:W77" si="32">T49+U49+V49</f>
        <v>0</v>
      </c>
      <c r="X49" s="185">
        <f t="shared" ref="X49:X78" si="33">W49+S49+P49+O49</f>
        <v>0</v>
      </c>
      <c r="Y49" s="184">
        <v>0</v>
      </c>
      <c r="Z49" s="184">
        <v>0</v>
      </c>
      <c r="AA49" s="184"/>
      <c r="AB49" s="184">
        <f t="shared" ref="AB49:AB77" si="34">Y49+Z49+AA49</f>
        <v>0</v>
      </c>
      <c r="AC49" s="184"/>
      <c r="AD49" s="184"/>
      <c r="AE49" s="184">
        <f t="shared" ref="AE49:AE77" si="35">I49+N49+X49+AB49+AC49+AD49</f>
        <v>0</v>
      </c>
      <c r="AF49" s="184">
        <f t="shared" ref="AF49:AF77" si="36">H49-(I49+N49+X49+AB49+AC49+AD49)</f>
        <v>0</v>
      </c>
      <c r="AG49" s="184"/>
      <c r="AH49" s="185"/>
      <c r="AI49" s="28"/>
      <c r="AJ49" s="23"/>
      <c r="AK49" s="23"/>
      <c r="AL49" s="23"/>
      <c r="AM49" s="23"/>
      <c r="AN49" s="23"/>
      <c r="AO49" s="23"/>
      <c r="AP49" s="24">
        <f t="shared" ref="AP49:AP71" si="37">AJ49+AK49+AL49+AM49+AN49+AO49</f>
        <v>0</v>
      </c>
      <c r="AQ49" s="274"/>
    </row>
    <row r="50" spans="1:46" ht="45" customHeight="1" x14ac:dyDescent="1.1000000000000001">
      <c r="A50" s="54" t="s">
        <v>445</v>
      </c>
      <c r="B50" s="54" t="s">
        <v>446</v>
      </c>
      <c r="C50" s="42"/>
      <c r="D50" s="42"/>
      <c r="E50" s="42"/>
      <c r="F50" s="60"/>
      <c r="G50" s="60"/>
      <c r="H50" s="183">
        <v>270890</v>
      </c>
      <c r="I50" s="187">
        <v>110740</v>
      </c>
      <c r="J50" s="184">
        <v>83055</v>
      </c>
      <c r="K50" s="184">
        <v>0</v>
      </c>
      <c r="L50" s="184">
        <v>0</v>
      </c>
      <c r="M50" s="184">
        <v>0</v>
      </c>
      <c r="N50" s="184">
        <f>SUM(J50:M50)</f>
        <v>83055</v>
      </c>
      <c r="O50" s="187">
        <v>77095</v>
      </c>
      <c r="P50" s="184"/>
      <c r="Q50" s="187"/>
      <c r="R50" s="184"/>
      <c r="S50" s="184">
        <f t="shared" si="31"/>
        <v>0</v>
      </c>
      <c r="T50" s="184"/>
      <c r="U50" s="184"/>
      <c r="V50" s="184"/>
      <c r="W50" s="184">
        <f t="shared" si="32"/>
        <v>0</v>
      </c>
      <c r="X50" s="185">
        <f t="shared" si="33"/>
        <v>77095</v>
      </c>
      <c r="Y50" s="184">
        <v>0</v>
      </c>
      <c r="Z50" s="184">
        <v>0</v>
      </c>
      <c r="AA50" s="184"/>
      <c r="AB50" s="184">
        <f t="shared" si="34"/>
        <v>0</v>
      </c>
      <c r="AC50" s="184"/>
      <c r="AD50" s="184"/>
      <c r="AE50" s="184">
        <f t="shared" si="35"/>
        <v>270890</v>
      </c>
      <c r="AF50" s="184">
        <f t="shared" si="36"/>
        <v>0</v>
      </c>
      <c r="AG50" s="184"/>
      <c r="AH50" s="184"/>
      <c r="AI50" s="24"/>
      <c r="AJ50" s="24"/>
      <c r="AK50" s="23"/>
      <c r="AL50" s="23"/>
      <c r="AM50" s="23"/>
      <c r="AN50" s="23"/>
      <c r="AO50" s="23"/>
      <c r="AP50" s="24">
        <f t="shared" si="37"/>
        <v>0</v>
      </c>
      <c r="AQ50" s="274"/>
    </row>
    <row r="51" spans="1:46" ht="45" customHeight="1" x14ac:dyDescent="1.1000000000000001">
      <c r="A51" s="54" t="s">
        <v>447</v>
      </c>
      <c r="B51" s="54" t="s">
        <v>448</v>
      </c>
      <c r="C51" s="42"/>
      <c r="D51" s="42"/>
      <c r="E51" s="42"/>
      <c r="F51" s="60"/>
      <c r="G51" s="60"/>
      <c r="H51" s="183">
        <v>248084</v>
      </c>
      <c r="I51" s="187"/>
      <c r="J51" s="184">
        <v>0</v>
      </c>
      <c r="K51" s="184">
        <v>0</v>
      </c>
      <c r="L51" s="184">
        <v>0</v>
      </c>
      <c r="M51" s="184">
        <v>0</v>
      </c>
      <c r="N51" s="184">
        <f>SUM(J51:M51)</f>
        <v>0</v>
      </c>
      <c r="O51" s="184"/>
      <c r="P51" s="184">
        <v>173898</v>
      </c>
      <c r="Q51" s="187">
        <v>74186</v>
      </c>
      <c r="R51" s="184"/>
      <c r="S51" s="184">
        <f t="shared" si="31"/>
        <v>74186</v>
      </c>
      <c r="T51" s="184"/>
      <c r="U51" s="184"/>
      <c r="V51" s="184"/>
      <c r="W51" s="184">
        <f t="shared" si="32"/>
        <v>0</v>
      </c>
      <c r="X51" s="185">
        <f t="shared" si="33"/>
        <v>248084</v>
      </c>
      <c r="Y51" s="184">
        <v>0</v>
      </c>
      <c r="Z51" s="184">
        <v>0</v>
      </c>
      <c r="AA51" s="184"/>
      <c r="AB51" s="184">
        <f t="shared" si="34"/>
        <v>0</v>
      </c>
      <c r="AC51" s="184"/>
      <c r="AD51" s="184"/>
      <c r="AE51" s="184">
        <f t="shared" si="35"/>
        <v>248084</v>
      </c>
      <c r="AF51" s="184">
        <f t="shared" si="36"/>
        <v>0</v>
      </c>
      <c r="AG51" s="184"/>
      <c r="AH51" s="184"/>
      <c r="AI51" s="24"/>
      <c r="AJ51" s="24"/>
      <c r="AK51" s="23"/>
      <c r="AL51" s="23"/>
      <c r="AM51" s="23"/>
      <c r="AN51" s="23"/>
      <c r="AO51" s="23"/>
      <c r="AP51" s="24">
        <f t="shared" si="37"/>
        <v>0</v>
      </c>
      <c r="AQ51" s="274"/>
    </row>
    <row r="52" spans="1:46" ht="45" customHeight="1" x14ac:dyDescent="1.1000000000000001">
      <c r="A52" s="54" t="s">
        <v>447</v>
      </c>
      <c r="B52" s="54" t="s">
        <v>449</v>
      </c>
      <c r="C52" s="42" t="s">
        <v>450</v>
      </c>
      <c r="D52" s="42" t="s">
        <v>451</v>
      </c>
      <c r="E52" s="42" t="s">
        <v>452</v>
      </c>
      <c r="F52" s="69" t="s">
        <v>453</v>
      </c>
      <c r="G52" s="60" t="s">
        <v>454</v>
      </c>
      <c r="H52" s="183">
        <v>370460</v>
      </c>
      <c r="I52" s="187"/>
      <c r="J52" s="184">
        <v>0</v>
      </c>
      <c r="K52" s="184">
        <v>0</v>
      </c>
      <c r="L52" s="184">
        <v>0</v>
      </c>
      <c r="M52" s="184">
        <v>0</v>
      </c>
      <c r="N52" s="184">
        <f>SUM(J52:M52)</f>
        <v>0</v>
      </c>
      <c r="O52" s="184"/>
      <c r="P52" s="184"/>
      <c r="Q52" s="184"/>
      <c r="R52" s="184"/>
      <c r="S52" s="184">
        <f t="shared" si="31"/>
        <v>0</v>
      </c>
      <c r="T52" s="184"/>
      <c r="U52" s="184"/>
      <c r="V52" s="184"/>
      <c r="W52" s="184">
        <f t="shared" si="32"/>
        <v>0</v>
      </c>
      <c r="X52" s="185">
        <f t="shared" si="33"/>
        <v>0</v>
      </c>
      <c r="Y52" s="184">
        <v>0</v>
      </c>
      <c r="Z52" s="184">
        <v>0</v>
      </c>
      <c r="AA52" s="184"/>
      <c r="AB52" s="184">
        <f t="shared" si="34"/>
        <v>0</v>
      </c>
      <c r="AC52" s="184">
        <v>148184</v>
      </c>
      <c r="AD52" s="184"/>
      <c r="AE52" s="184">
        <f t="shared" si="35"/>
        <v>148184</v>
      </c>
      <c r="AF52" s="184">
        <f t="shared" si="36"/>
        <v>222276</v>
      </c>
      <c r="AG52" s="184">
        <v>370460</v>
      </c>
      <c r="AH52" s="21">
        <v>370460</v>
      </c>
      <c r="AI52" s="28">
        <v>370460</v>
      </c>
      <c r="AJ52" s="70"/>
      <c r="AK52" s="70">
        <v>370460</v>
      </c>
      <c r="AL52" s="23"/>
      <c r="AM52" s="23"/>
      <c r="AN52" s="23"/>
      <c r="AO52" s="23"/>
      <c r="AP52" s="24">
        <f t="shared" si="37"/>
        <v>370460</v>
      </c>
      <c r="AQ52" s="274">
        <v>222276</v>
      </c>
    </row>
    <row r="53" spans="1:46" ht="45" customHeight="1" x14ac:dyDescent="1.1000000000000001">
      <c r="A53" s="54" t="s">
        <v>447</v>
      </c>
      <c r="B53" s="54" t="s">
        <v>449</v>
      </c>
      <c r="C53" s="42"/>
      <c r="D53" s="42"/>
      <c r="E53" s="42"/>
      <c r="F53" s="69"/>
      <c r="G53" s="60"/>
      <c r="H53" s="183">
        <v>0</v>
      </c>
      <c r="I53" s="187"/>
      <c r="J53" s="184"/>
      <c r="K53" s="184"/>
      <c r="L53" s="184"/>
      <c r="M53" s="184"/>
      <c r="N53" s="184"/>
      <c r="O53" s="184"/>
      <c r="P53" s="184"/>
      <c r="Q53" s="184"/>
      <c r="R53" s="184"/>
      <c r="S53" s="184">
        <f t="shared" si="31"/>
        <v>0</v>
      </c>
      <c r="T53" s="184"/>
      <c r="U53" s="184"/>
      <c r="V53" s="184"/>
      <c r="W53" s="184">
        <f t="shared" si="32"/>
        <v>0</v>
      </c>
      <c r="X53" s="185">
        <f t="shared" si="33"/>
        <v>0</v>
      </c>
      <c r="Y53" s="184">
        <v>0</v>
      </c>
      <c r="Z53" s="184">
        <v>0</v>
      </c>
      <c r="AA53" s="184"/>
      <c r="AB53" s="184">
        <f t="shared" si="34"/>
        <v>0</v>
      </c>
      <c r="AC53" s="184"/>
      <c r="AD53" s="184"/>
      <c r="AE53" s="184">
        <f t="shared" si="35"/>
        <v>0</v>
      </c>
      <c r="AF53" s="184">
        <f t="shared" si="36"/>
        <v>0</v>
      </c>
      <c r="AG53" s="184"/>
      <c r="AH53" s="184"/>
      <c r="AI53" s="28"/>
      <c r="AJ53" s="70"/>
      <c r="AK53" s="71"/>
      <c r="AL53" s="23"/>
      <c r="AM53" s="23"/>
      <c r="AN53" s="23"/>
      <c r="AO53" s="23"/>
      <c r="AP53" s="24">
        <f t="shared" si="37"/>
        <v>0</v>
      </c>
      <c r="AQ53" s="274"/>
    </row>
    <row r="54" spans="1:46" ht="45" customHeight="1" x14ac:dyDescent="1.1000000000000001">
      <c r="A54" s="54" t="s">
        <v>445</v>
      </c>
      <c r="B54" s="54" t="s">
        <v>455</v>
      </c>
      <c r="C54" s="42"/>
      <c r="D54" s="42"/>
      <c r="E54" s="42"/>
      <c r="F54" s="69"/>
      <c r="G54" s="60"/>
      <c r="H54" s="183">
        <v>0</v>
      </c>
      <c r="I54" s="187"/>
      <c r="J54" s="184"/>
      <c r="K54" s="184"/>
      <c r="L54" s="184"/>
      <c r="M54" s="184"/>
      <c r="N54" s="184"/>
      <c r="O54" s="184"/>
      <c r="P54" s="184"/>
      <c r="Q54" s="184"/>
      <c r="R54" s="184"/>
      <c r="S54" s="184">
        <f t="shared" si="31"/>
        <v>0</v>
      </c>
      <c r="T54" s="184"/>
      <c r="U54" s="184"/>
      <c r="V54" s="184"/>
      <c r="W54" s="184">
        <f t="shared" si="32"/>
        <v>0</v>
      </c>
      <c r="X54" s="185">
        <f t="shared" si="33"/>
        <v>0</v>
      </c>
      <c r="Y54" s="184">
        <v>0</v>
      </c>
      <c r="Z54" s="184">
        <v>0</v>
      </c>
      <c r="AA54" s="184"/>
      <c r="AB54" s="184">
        <f t="shared" si="34"/>
        <v>0</v>
      </c>
      <c r="AC54" s="184"/>
      <c r="AD54" s="184"/>
      <c r="AE54" s="184">
        <f t="shared" si="35"/>
        <v>0</v>
      </c>
      <c r="AF54" s="184">
        <f t="shared" si="36"/>
        <v>0</v>
      </c>
      <c r="AG54" s="184"/>
      <c r="AH54" s="184"/>
      <c r="AI54" s="28"/>
      <c r="AJ54" s="72"/>
      <c r="AK54" s="71"/>
      <c r="AL54" s="23"/>
      <c r="AM54" s="23"/>
      <c r="AN54" s="23"/>
      <c r="AO54" s="23"/>
      <c r="AP54" s="24">
        <f t="shared" si="37"/>
        <v>0</v>
      </c>
      <c r="AQ54" s="274"/>
    </row>
    <row r="55" spans="1:46" ht="45" customHeight="1" x14ac:dyDescent="1.1000000000000001">
      <c r="A55" s="54" t="s">
        <v>456</v>
      </c>
      <c r="B55" s="54" t="s">
        <v>457</v>
      </c>
      <c r="C55" s="42" t="s">
        <v>458</v>
      </c>
      <c r="D55" s="42"/>
      <c r="E55" s="42"/>
      <c r="F55" s="69"/>
      <c r="G55" s="60"/>
      <c r="H55" s="183">
        <v>21543.451294652412</v>
      </c>
      <c r="I55" s="187">
        <v>4439.4512946524101</v>
      </c>
      <c r="J55" s="184">
        <v>10484</v>
      </c>
      <c r="K55" s="184">
        <v>0</v>
      </c>
      <c r="L55" s="184">
        <v>0</v>
      </c>
      <c r="M55" s="184">
        <v>0</v>
      </c>
      <c r="N55" s="184">
        <f>SUM(J55:M55)</f>
        <v>10484</v>
      </c>
      <c r="O55" s="184">
        <v>4744</v>
      </c>
      <c r="P55" s="184">
        <v>1876</v>
      </c>
      <c r="Q55" s="184"/>
      <c r="R55" s="184"/>
      <c r="S55" s="184">
        <f t="shared" si="31"/>
        <v>0</v>
      </c>
      <c r="T55" s="184"/>
      <c r="U55" s="184"/>
      <c r="V55" s="184"/>
      <c r="W55" s="184">
        <f t="shared" si="32"/>
        <v>0</v>
      </c>
      <c r="X55" s="185">
        <f t="shared" si="33"/>
        <v>6620</v>
      </c>
      <c r="Y55" s="184">
        <v>0</v>
      </c>
      <c r="Z55" s="184">
        <v>0</v>
      </c>
      <c r="AA55" s="184"/>
      <c r="AB55" s="184">
        <f t="shared" si="34"/>
        <v>0</v>
      </c>
      <c r="AC55" s="184"/>
      <c r="AD55" s="184"/>
      <c r="AE55" s="184">
        <f t="shared" si="35"/>
        <v>21543.451294652412</v>
      </c>
      <c r="AF55" s="184">
        <f t="shared" si="36"/>
        <v>0</v>
      </c>
      <c r="AG55" s="184"/>
      <c r="AH55" s="184"/>
      <c r="AI55" s="28"/>
      <c r="AJ55" s="25"/>
      <c r="AK55" s="73"/>
      <c r="AL55" s="23"/>
      <c r="AM55" s="23"/>
      <c r="AN55" s="23"/>
      <c r="AO55" s="23"/>
      <c r="AP55" s="24">
        <f t="shared" si="37"/>
        <v>0</v>
      </c>
      <c r="AQ55" s="274"/>
    </row>
    <row r="56" spans="1:46" ht="45" customHeight="1" x14ac:dyDescent="1.1000000000000001">
      <c r="A56" s="54" t="s">
        <v>459</v>
      </c>
      <c r="B56" s="54" t="s">
        <v>460</v>
      </c>
      <c r="C56" s="42" t="s">
        <v>461</v>
      </c>
      <c r="D56" s="42"/>
      <c r="E56" s="42"/>
      <c r="F56" s="69"/>
      <c r="G56" s="60"/>
      <c r="H56" s="183">
        <v>7113</v>
      </c>
      <c r="I56" s="187"/>
      <c r="J56" s="184"/>
      <c r="K56" s="184"/>
      <c r="L56" s="184"/>
      <c r="M56" s="184"/>
      <c r="N56" s="184"/>
      <c r="O56" s="184"/>
      <c r="P56" s="184"/>
      <c r="Q56" s="184"/>
      <c r="R56" s="184"/>
      <c r="S56" s="184">
        <f t="shared" si="31"/>
        <v>0</v>
      </c>
      <c r="T56" s="184"/>
      <c r="U56" s="184"/>
      <c r="V56" s="184">
        <v>140</v>
      </c>
      <c r="W56" s="184">
        <f t="shared" si="32"/>
        <v>140</v>
      </c>
      <c r="X56" s="185">
        <f t="shared" si="33"/>
        <v>140</v>
      </c>
      <c r="Y56" s="184">
        <v>3764</v>
      </c>
      <c r="Z56" s="184">
        <v>2165</v>
      </c>
      <c r="AA56" s="184"/>
      <c r="AB56" s="184">
        <f t="shared" si="34"/>
        <v>5929</v>
      </c>
      <c r="AC56" s="184"/>
      <c r="AD56" s="184"/>
      <c r="AE56" s="184">
        <f t="shared" si="35"/>
        <v>6069</v>
      </c>
      <c r="AF56" s="184">
        <f t="shared" si="36"/>
        <v>1044</v>
      </c>
      <c r="AG56" s="184">
        <v>1044</v>
      </c>
      <c r="AH56" s="185"/>
      <c r="AI56" s="28"/>
      <c r="AJ56" s="25"/>
      <c r="AK56" s="73"/>
      <c r="AL56" s="23"/>
      <c r="AM56" s="23"/>
      <c r="AN56" s="23"/>
      <c r="AO56" s="23"/>
      <c r="AP56" s="24">
        <f t="shared" si="37"/>
        <v>0</v>
      </c>
      <c r="AQ56" s="274">
        <v>1044</v>
      </c>
      <c r="AT56" s="278"/>
    </row>
    <row r="57" spans="1:46" ht="45" customHeight="1" x14ac:dyDescent="1.1000000000000001">
      <c r="A57" s="54" t="s">
        <v>462</v>
      </c>
      <c r="B57" s="54" t="s">
        <v>463</v>
      </c>
      <c r="C57" s="42" t="s">
        <v>464</v>
      </c>
      <c r="D57" s="42"/>
      <c r="E57" s="42" t="s">
        <v>452</v>
      </c>
      <c r="F57" s="60" t="s">
        <v>465</v>
      </c>
      <c r="G57" s="60" t="s">
        <v>466</v>
      </c>
      <c r="H57" s="183">
        <v>160000</v>
      </c>
      <c r="I57" s="187">
        <v>0</v>
      </c>
      <c r="J57" s="184">
        <v>48000</v>
      </c>
      <c r="K57" s="184">
        <v>80000</v>
      </c>
      <c r="L57" s="184">
        <v>0</v>
      </c>
      <c r="M57" s="184">
        <v>0</v>
      </c>
      <c r="N57" s="184">
        <f>SUM(J57:M57)</f>
        <v>128000</v>
      </c>
      <c r="O57" s="184"/>
      <c r="P57" s="184"/>
      <c r="Q57" s="187">
        <f>32000</f>
        <v>32000</v>
      </c>
      <c r="R57" s="184"/>
      <c r="S57" s="184">
        <f t="shared" si="31"/>
        <v>32000</v>
      </c>
      <c r="T57" s="184"/>
      <c r="U57" s="184"/>
      <c r="V57" s="184"/>
      <c r="W57" s="184">
        <f t="shared" si="32"/>
        <v>0</v>
      </c>
      <c r="X57" s="185">
        <f t="shared" si="33"/>
        <v>32000</v>
      </c>
      <c r="Y57" s="184">
        <v>0</v>
      </c>
      <c r="Z57" s="184">
        <v>0</v>
      </c>
      <c r="AA57" s="184"/>
      <c r="AB57" s="184">
        <f t="shared" si="34"/>
        <v>0</v>
      </c>
      <c r="AC57" s="184"/>
      <c r="AD57" s="184"/>
      <c r="AE57" s="184">
        <f t="shared" si="35"/>
        <v>160000</v>
      </c>
      <c r="AF57" s="184">
        <f t="shared" si="36"/>
        <v>0</v>
      </c>
      <c r="AG57" s="184"/>
      <c r="AH57" s="185"/>
      <c r="AI57" s="28"/>
      <c r="AJ57" s="74"/>
      <c r="AK57" s="23"/>
      <c r="AL57" s="23"/>
      <c r="AM57" s="23"/>
      <c r="AN57" s="23"/>
      <c r="AO57" s="23"/>
      <c r="AP57" s="24">
        <f t="shared" si="37"/>
        <v>0</v>
      </c>
      <c r="AQ57" s="274"/>
    </row>
    <row r="58" spans="1:46" ht="45" customHeight="1" x14ac:dyDescent="1.1000000000000001">
      <c r="A58" s="54" t="s">
        <v>467</v>
      </c>
      <c r="B58" s="54" t="s">
        <v>468</v>
      </c>
      <c r="C58" s="42" t="s">
        <v>464</v>
      </c>
      <c r="D58" s="42"/>
      <c r="E58" s="42"/>
      <c r="F58" s="60"/>
      <c r="G58" s="60"/>
      <c r="H58" s="183">
        <v>0</v>
      </c>
      <c r="I58" s="187">
        <v>0</v>
      </c>
      <c r="J58" s="184"/>
      <c r="K58" s="184"/>
      <c r="L58" s="184">
        <v>0</v>
      </c>
      <c r="M58" s="184">
        <v>0</v>
      </c>
      <c r="N58" s="184"/>
      <c r="O58" s="184"/>
      <c r="P58" s="184"/>
      <c r="Q58" s="187"/>
      <c r="R58" s="184"/>
      <c r="S58" s="184">
        <f t="shared" si="31"/>
        <v>0</v>
      </c>
      <c r="T58" s="184"/>
      <c r="U58" s="184"/>
      <c r="V58" s="184"/>
      <c r="W58" s="184">
        <f t="shared" si="32"/>
        <v>0</v>
      </c>
      <c r="X58" s="185">
        <f t="shared" si="33"/>
        <v>0</v>
      </c>
      <c r="Y58" s="184">
        <v>0</v>
      </c>
      <c r="Z58" s="184">
        <v>0</v>
      </c>
      <c r="AA58" s="184"/>
      <c r="AB58" s="184">
        <f t="shared" si="34"/>
        <v>0</v>
      </c>
      <c r="AC58" s="184"/>
      <c r="AD58" s="184"/>
      <c r="AE58" s="184">
        <f t="shared" si="35"/>
        <v>0</v>
      </c>
      <c r="AF58" s="184">
        <f t="shared" si="36"/>
        <v>0</v>
      </c>
      <c r="AG58" s="184"/>
      <c r="AH58" s="185"/>
      <c r="AI58" s="57"/>
      <c r="AJ58" s="75"/>
      <c r="AK58" s="23"/>
      <c r="AL58" s="23"/>
      <c r="AM58" s="23"/>
      <c r="AN58" s="23"/>
      <c r="AO58" s="23"/>
      <c r="AP58" s="24">
        <f t="shared" si="37"/>
        <v>0</v>
      </c>
      <c r="AQ58" s="274"/>
    </row>
    <row r="59" spans="1:46" ht="45" customHeight="1" x14ac:dyDescent="1.1000000000000001">
      <c r="A59" s="54" t="s">
        <v>469</v>
      </c>
      <c r="B59" s="54" t="s">
        <v>470</v>
      </c>
      <c r="C59" s="42" t="s">
        <v>471</v>
      </c>
      <c r="D59" s="42"/>
      <c r="E59" s="42"/>
      <c r="F59" s="60"/>
      <c r="G59" s="60"/>
      <c r="H59" s="183">
        <v>3952.4047764444476</v>
      </c>
      <c r="I59" s="187">
        <v>0</v>
      </c>
      <c r="J59" s="184">
        <v>3952.4047764444476</v>
      </c>
      <c r="K59" s="184">
        <v>0</v>
      </c>
      <c r="L59" s="184">
        <v>0</v>
      </c>
      <c r="M59" s="184">
        <v>0</v>
      </c>
      <c r="N59" s="184">
        <f t="shared" ref="N59:N71" si="38">SUM(J59:M59)</f>
        <v>3952.4047764444476</v>
      </c>
      <c r="O59" s="184"/>
      <c r="P59" s="184"/>
      <c r="Q59" s="223"/>
      <c r="R59" s="184"/>
      <c r="S59" s="184">
        <f t="shared" si="31"/>
        <v>0</v>
      </c>
      <c r="T59" s="184"/>
      <c r="U59" s="184"/>
      <c r="V59" s="184"/>
      <c r="W59" s="184">
        <f t="shared" si="32"/>
        <v>0</v>
      </c>
      <c r="X59" s="185">
        <f t="shared" si="33"/>
        <v>0</v>
      </c>
      <c r="Y59" s="184">
        <v>0</v>
      </c>
      <c r="Z59" s="184">
        <v>0</v>
      </c>
      <c r="AA59" s="184"/>
      <c r="AB59" s="184">
        <f t="shared" si="34"/>
        <v>0</v>
      </c>
      <c r="AC59" s="184"/>
      <c r="AD59" s="184"/>
      <c r="AE59" s="184">
        <f t="shared" si="35"/>
        <v>3952.4047764444476</v>
      </c>
      <c r="AF59" s="184">
        <f t="shared" si="36"/>
        <v>0</v>
      </c>
      <c r="AG59" s="184"/>
      <c r="AH59" s="185"/>
      <c r="AI59" s="28"/>
      <c r="AJ59" s="24"/>
      <c r="AK59" s="23"/>
      <c r="AL59" s="23"/>
      <c r="AM59" s="23"/>
      <c r="AN59" s="23"/>
      <c r="AO59" s="23"/>
      <c r="AP59" s="24">
        <f t="shared" si="37"/>
        <v>0</v>
      </c>
      <c r="AQ59" s="274"/>
    </row>
    <row r="60" spans="1:46" ht="45" customHeight="1" x14ac:dyDescent="1.1000000000000001">
      <c r="A60" s="54" t="s">
        <v>472</v>
      </c>
      <c r="B60" s="54" t="s">
        <v>473</v>
      </c>
      <c r="C60" s="42" t="s">
        <v>450</v>
      </c>
      <c r="D60" s="42"/>
      <c r="E60" s="42"/>
      <c r="F60" s="60"/>
      <c r="G60" s="60"/>
      <c r="H60" s="183">
        <v>0</v>
      </c>
      <c r="I60" s="187"/>
      <c r="J60" s="184">
        <v>0</v>
      </c>
      <c r="K60" s="184">
        <v>0</v>
      </c>
      <c r="L60" s="184">
        <v>0</v>
      </c>
      <c r="M60" s="184">
        <v>0</v>
      </c>
      <c r="N60" s="184">
        <f t="shared" si="38"/>
        <v>0</v>
      </c>
      <c r="O60" s="184"/>
      <c r="P60" s="184"/>
      <c r="Q60" s="223"/>
      <c r="R60" s="184"/>
      <c r="S60" s="184">
        <f t="shared" si="31"/>
        <v>0</v>
      </c>
      <c r="T60" s="184"/>
      <c r="U60" s="184"/>
      <c r="V60" s="184"/>
      <c r="W60" s="184">
        <f t="shared" si="32"/>
        <v>0</v>
      </c>
      <c r="X60" s="185">
        <f t="shared" si="33"/>
        <v>0</v>
      </c>
      <c r="Y60" s="184">
        <v>0</v>
      </c>
      <c r="Z60" s="184">
        <v>0</v>
      </c>
      <c r="AA60" s="184"/>
      <c r="AB60" s="184">
        <f t="shared" si="34"/>
        <v>0</v>
      </c>
      <c r="AC60" s="184"/>
      <c r="AD60" s="184"/>
      <c r="AE60" s="184">
        <f t="shared" si="35"/>
        <v>0</v>
      </c>
      <c r="AF60" s="184">
        <f t="shared" si="36"/>
        <v>0</v>
      </c>
      <c r="AG60" s="184"/>
      <c r="AH60" s="185"/>
      <c r="AI60" s="76"/>
      <c r="AJ60" s="75"/>
      <c r="AK60" s="23"/>
      <c r="AL60" s="23"/>
      <c r="AM60" s="23"/>
      <c r="AN60" s="23"/>
      <c r="AO60" s="23"/>
      <c r="AP60" s="24">
        <f t="shared" si="37"/>
        <v>0</v>
      </c>
      <c r="AQ60" s="274"/>
    </row>
    <row r="61" spans="1:46" ht="45" customHeight="1" x14ac:dyDescent="1.1000000000000001">
      <c r="A61" s="54"/>
      <c r="B61" s="54" t="s">
        <v>474</v>
      </c>
      <c r="C61" s="42"/>
      <c r="D61" s="42"/>
      <c r="E61" s="42"/>
      <c r="F61" s="60"/>
      <c r="G61" s="60"/>
      <c r="H61" s="183">
        <v>223</v>
      </c>
      <c r="I61" s="187"/>
      <c r="J61" s="184">
        <v>0</v>
      </c>
      <c r="K61" s="184">
        <v>0</v>
      </c>
      <c r="L61" s="184">
        <v>0</v>
      </c>
      <c r="M61" s="184">
        <v>0</v>
      </c>
      <c r="N61" s="184">
        <f t="shared" si="38"/>
        <v>0</v>
      </c>
      <c r="O61" s="184">
        <v>223</v>
      </c>
      <c r="P61" s="184"/>
      <c r="Q61" s="223"/>
      <c r="R61" s="184"/>
      <c r="S61" s="184">
        <f t="shared" si="31"/>
        <v>0</v>
      </c>
      <c r="T61" s="184"/>
      <c r="U61" s="184"/>
      <c r="V61" s="184"/>
      <c r="W61" s="184">
        <f t="shared" si="32"/>
        <v>0</v>
      </c>
      <c r="X61" s="185">
        <f t="shared" si="33"/>
        <v>223</v>
      </c>
      <c r="Y61" s="184">
        <v>0</v>
      </c>
      <c r="Z61" s="184">
        <v>0</v>
      </c>
      <c r="AA61" s="184"/>
      <c r="AB61" s="184">
        <f t="shared" si="34"/>
        <v>0</v>
      </c>
      <c r="AC61" s="184"/>
      <c r="AD61" s="184"/>
      <c r="AE61" s="184">
        <f t="shared" si="35"/>
        <v>223</v>
      </c>
      <c r="AF61" s="184">
        <f t="shared" si="36"/>
        <v>0</v>
      </c>
      <c r="AG61" s="184"/>
      <c r="AH61" s="185"/>
      <c r="AI61" s="28"/>
      <c r="AJ61" s="74"/>
      <c r="AK61" s="23"/>
      <c r="AL61" s="23"/>
      <c r="AM61" s="23"/>
      <c r="AN61" s="23"/>
      <c r="AO61" s="23"/>
      <c r="AP61" s="24">
        <f t="shared" si="37"/>
        <v>0</v>
      </c>
      <c r="AQ61" s="274"/>
    </row>
    <row r="62" spans="1:46" s="78" customFormat="1" ht="45" customHeight="1" x14ac:dyDescent="1.1000000000000001">
      <c r="A62" s="54" t="s">
        <v>475</v>
      </c>
      <c r="B62" s="77" t="s">
        <v>476</v>
      </c>
      <c r="C62" s="42" t="s">
        <v>477</v>
      </c>
      <c r="D62" s="42" t="s">
        <v>478</v>
      </c>
      <c r="E62" s="42" t="s">
        <v>452</v>
      </c>
      <c r="F62" s="60" t="s">
        <v>479</v>
      </c>
      <c r="G62" s="60" t="s">
        <v>480</v>
      </c>
      <c r="H62" s="183">
        <v>119125.15</v>
      </c>
      <c r="I62" s="187">
        <v>40017</v>
      </c>
      <c r="J62" s="184">
        <v>40024</v>
      </c>
      <c r="K62" s="184">
        <v>0</v>
      </c>
      <c r="L62" s="184">
        <v>39084.15</v>
      </c>
      <c r="M62" s="184">
        <v>0</v>
      </c>
      <c r="N62" s="184">
        <f t="shared" si="38"/>
        <v>79108.149999999994</v>
      </c>
      <c r="O62" s="184"/>
      <c r="P62" s="184"/>
      <c r="Q62" s="187"/>
      <c r="R62" s="184"/>
      <c r="S62" s="184">
        <f t="shared" si="31"/>
        <v>0</v>
      </c>
      <c r="T62" s="184"/>
      <c r="U62" s="184"/>
      <c r="V62" s="184"/>
      <c r="W62" s="184">
        <f t="shared" si="32"/>
        <v>0</v>
      </c>
      <c r="X62" s="185">
        <f t="shared" si="33"/>
        <v>0</v>
      </c>
      <c r="Y62" s="184">
        <v>0</v>
      </c>
      <c r="Z62" s="184">
        <v>0</v>
      </c>
      <c r="AA62" s="184"/>
      <c r="AB62" s="184">
        <f t="shared" si="34"/>
        <v>0</v>
      </c>
      <c r="AC62" s="184"/>
      <c r="AD62" s="184"/>
      <c r="AE62" s="184">
        <f t="shared" si="35"/>
        <v>119125.15</v>
      </c>
      <c r="AF62" s="184">
        <f t="shared" si="36"/>
        <v>0</v>
      </c>
      <c r="AG62" s="184"/>
      <c r="AH62" s="185"/>
      <c r="AI62" s="24"/>
      <c r="AJ62" s="24"/>
      <c r="AK62" s="23"/>
      <c r="AL62" s="23"/>
      <c r="AM62" s="23"/>
      <c r="AN62" s="23"/>
      <c r="AO62" s="23"/>
      <c r="AP62" s="24">
        <f t="shared" si="37"/>
        <v>0</v>
      </c>
      <c r="AQ62" s="274"/>
      <c r="AR62" s="277"/>
      <c r="AS62" s="277"/>
    </row>
    <row r="63" spans="1:46" s="78" customFormat="1" ht="45" customHeight="1" x14ac:dyDescent="1.1000000000000001">
      <c r="A63" s="54" t="s">
        <v>481</v>
      </c>
      <c r="B63" s="43" t="s">
        <v>482</v>
      </c>
      <c r="C63" s="42" t="s">
        <v>483</v>
      </c>
      <c r="D63" s="42" t="s">
        <v>478</v>
      </c>
      <c r="E63" s="42" t="s">
        <v>452</v>
      </c>
      <c r="F63" s="60" t="s">
        <v>484</v>
      </c>
      <c r="G63" s="60" t="s">
        <v>485</v>
      </c>
      <c r="H63" s="183">
        <v>41390</v>
      </c>
      <c r="I63" s="187">
        <v>0</v>
      </c>
      <c r="J63" s="184">
        <v>0</v>
      </c>
      <c r="K63" s="184">
        <v>0</v>
      </c>
      <c r="L63" s="184">
        <v>12600</v>
      </c>
      <c r="M63" s="184">
        <v>0</v>
      </c>
      <c r="N63" s="184">
        <f t="shared" si="38"/>
        <v>12600</v>
      </c>
      <c r="O63" s="187">
        <v>15000</v>
      </c>
      <c r="P63" s="184"/>
      <c r="Q63" s="184">
        <f>13790</f>
        <v>13790</v>
      </c>
      <c r="R63" s="184"/>
      <c r="S63" s="184">
        <f t="shared" si="31"/>
        <v>13790</v>
      </c>
      <c r="T63" s="184"/>
      <c r="U63" s="184"/>
      <c r="V63" s="184"/>
      <c r="W63" s="184">
        <f t="shared" si="32"/>
        <v>0</v>
      </c>
      <c r="X63" s="185">
        <f t="shared" si="33"/>
        <v>28790</v>
      </c>
      <c r="Y63" s="184">
        <v>0</v>
      </c>
      <c r="Z63" s="184">
        <v>0</v>
      </c>
      <c r="AA63" s="184"/>
      <c r="AB63" s="184">
        <f t="shared" si="34"/>
        <v>0</v>
      </c>
      <c r="AC63" s="184"/>
      <c r="AD63" s="184"/>
      <c r="AE63" s="184">
        <f t="shared" si="35"/>
        <v>41390</v>
      </c>
      <c r="AF63" s="184">
        <f t="shared" si="36"/>
        <v>0</v>
      </c>
      <c r="AG63" s="184"/>
      <c r="AH63" s="185"/>
      <c r="AI63" s="33"/>
      <c r="AJ63" s="33"/>
      <c r="AK63" s="23"/>
      <c r="AL63" s="23"/>
      <c r="AM63" s="23"/>
      <c r="AN63" s="23"/>
      <c r="AO63" s="23"/>
      <c r="AP63" s="24">
        <f t="shared" si="37"/>
        <v>0</v>
      </c>
      <c r="AQ63" s="274"/>
      <c r="AR63" s="277"/>
      <c r="AS63" s="277"/>
    </row>
    <row r="64" spans="1:46" s="78" customFormat="1" ht="45" customHeight="1" x14ac:dyDescent="1.1000000000000001">
      <c r="A64" s="54" t="s">
        <v>486</v>
      </c>
      <c r="B64" s="43" t="s">
        <v>487</v>
      </c>
      <c r="C64" s="42"/>
      <c r="D64" s="42"/>
      <c r="E64" s="42"/>
      <c r="F64" s="60"/>
      <c r="G64" s="60"/>
      <c r="H64" s="183">
        <v>21980.739968499212</v>
      </c>
      <c r="I64" s="187">
        <v>0</v>
      </c>
      <c r="J64" s="184">
        <v>0</v>
      </c>
      <c r="K64" s="184">
        <v>0</v>
      </c>
      <c r="L64" s="184">
        <v>0</v>
      </c>
      <c r="M64" s="184">
        <v>18168.739968499212</v>
      </c>
      <c r="N64" s="184">
        <f t="shared" si="38"/>
        <v>18168.739968499212</v>
      </c>
      <c r="O64" s="184"/>
      <c r="P64" s="184">
        <v>983</v>
      </c>
      <c r="Q64" s="184">
        <f>2771</f>
        <v>2771</v>
      </c>
      <c r="R64" s="184">
        <v>58</v>
      </c>
      <c r="S64" s="184">
        <f t="shared" si="31"/>
        <v>2829</v>
      </c>
      <c r="T64" s="184"/>
      <c r="U64" s="184"/>
      <c r="V64" s="184"/>
      <c r="W64" s="184">
        <f t="shared" si="32"/>
        <v>0</v>
      </c>
      <c r="X64" s="185">
        <f t="shared" si="33"/>
        <v>3812</v>
      </c>
      <c r="Y64" s="184">
        <v>0</v>
      </c>
      <c r="Z64" s="184">
        <v>0</v>
      </c>
      <c r="AA64" s="184"/>
      <c r="AB64" s="184">
        <f t="shared" si="34"/>
        <v>0</v>
      </c>
      <c r="AC64" s="184"/>
      <c r="AD64" s="184"/>
      <c r="AE64" s="184">
        <f t="shared" si="35"/>
        <v>21980.739968499212</v>
      </c>
      <c r="AF64" s="184">
        <f t="shared" si="36"/>
        <v>0</v>
      </c>
      <c r="AG64" s="184"/>
      <c r="AH64" s="185"/>
      <c r="AI64" s="28"/>
      <c r="AJ64" s="24"/>
      <c r="AK64" s="23"/>
      <c r="AL64" s="23"/>
      <c r="AM64" s="23"/>
      <c r="AN64" s="23"/>
      <c r="AO64" s="23"/>
      <c r="AP64" s="24">
        <f t="shared" si="37"/>
        <v>0</v>
      </c>
      <c r="AQ64" s="274"/>
      <c r="AR64" s="277"/>
      <c r="AS64" s="277"/>
    </row>
    <row r="65" spans="1:60" s="78" customFormat="1" ht="45" customHeight="1" x14ac:dyDescent="1.1000000000000001">
      <c r="A65" s="54" t="s">
        <v>488</v>
      </c>
      <c r="B65" s="43" t="s">
        <v>489</v>
      </c>
      <c r="C65" s="42"/>
      <c r="D65" s="42"/>
      <c r="E65" s="42"/>
      <c r="F65" s="60"/>
      <c r="G65" s="60"/>
      <c r="H65" s="183">
        <v>5632.7689942248562</v>
      </c>
      <c r="I65" s="187">
        <v>0</v>
      </c>
      <c r="J65" s="184">
        <v>0</v>
      </c>
      <c r="K65" s="184">
        <v>0</v>
      </c>
      <c r="L65" s="184">
        <v>0</v>
      </c>
      <c r="M65" s="184">
        <v>3259.7689942248558</v>
      </c>
      <c r="N65" s="184">
        <f t="shared" si="38"/>
        <v>3259.7689942248558</v>
      </c>
      <c r="O65" s="184"/>
      <c r="P65" s="184">
        <v>2373</v>
      </c>
      <c r="Q65" s="187"/>
      <c r="R65" s="184"/>
      <c r="S65" s="184">
        <f t="shared" si="31"/>
        <v>0</v>
      </c>
      <c r="T65" s="184"/>
      <c r="U65" s="184"/>
      <c r="V65" s="184"/>
      <c r="W65" s="184">
        <f t="shared" si="32"/>
        <v>0</v>
      </c>
      <c r="X65" s="185">
        <f t="shared" si="33"/>
        <v>2373</v>
      </c>
      <c r="Y65" s="184">
        <v>0</v>
      </c>
      <c r="Z65" s="184">
        <v>0</v>
      </c>
      <c r="AA65" s="184"/>
      <c r="AB65" s="184">
        <f t="shared" si="34"/>
        <v>0</v>
      </c>
      <c r="AC65" s="184"/>
      <c r="AD65" s="184"/>
      <c r="AE65" s="184">
        <f t="shared" si="35"/>
        <v>5632.7689942248562</v>
      </c>
      <c r="AF65" s="184">
        <f t="shared" si="36"/>
        <v>0</v>
      </c>
      <c r="AG65" s="184"/>
      <c r="AH65" s="185"/>
      <c r="AI65" s="24"/>
      <c r="AJ65" s="24"/>
      <c r="AK65" s="23"/>
      <c r="AL65" s="23"/>
      <c r="AM65" s="23"/>
      <c r="AN65" s="23"/>
      <c r="AO65" s="23"/>
      <c r="AP65" s="24">
        <f t="shared" si="37"/>
        <v>0</v>
      </c>
      <c r="AQ65" s="274"/>
      <c r="AR65" s="277"/>
      <c r="AS65" s="277"/>
    </row>
    <row r="66" spans="1:60" s="78" customFormat="1" ht="45" customHeight="1" x14ac:dyDescent="1.1000000000000001">
      <c r="A66" s="54" t="s">
        <v>490</v>
      </c>
      <c r="B66" s="43" t="s">
        <v>491</v>
      </c>
      <c r="C66" s="79"/>
      <c r="D66" s="42"/>
      <c r="E66" s="42"/>
      <c r="F66" s="60"/>
      <c r="G66" s="60"/>
      <c r="H66" s="183">
        <v>40000</v>
      </c>
      <c r="I66" s="187">
        <v>0</v>
      </c>
      <c r="J66" s="184">
        <v>0</v>
      </c>
      <c r="K66" s="184">
        <v>0</v>
      </c>
      <c r="L66" s="184">
        <v>0</v>
      </c>
      <c r="M66" s="184">
        <v>0</v>
      </c>
      <c r="N66" s="184">
        <f t="shared" si="38"/>
        <v>0</v>
      </c>
      <c r="O66" s="184"/>
      <c r="P66" s="184"/>
      <c r="Q66" s="187"/>
      <c r="R66" s="184"/>
      <c r="S66" s="184">
        <f t="shared" si="31"/>
        <v>0</v>
      </c>
      <c r="T66" s="184"/>
      <c r="U66" s="184"/>
      <c r="V66" s="184"/>
      <c r="W66" s="184">
        <f t="shared" si="32"/>
        <v>0</v>
      </c>
      <c r="X66" s="185">
        <f t="shared" si="33"/>
        <v>0</v>
      </c>
      <c r="Y66" s="184">
        <v>40000</v>
      </c>
      <c r="Z66" s="184">
        <v>0</v>
      </c>
      <c r="AA66" s="184"/>
      <c r="AB66" s="184">
        <f t="shared" si="34"/>
        <v>40000</v>
      </c>
      <c r="AC66" s="184"/>
      <c r="AD66" s="184"/>
      <c r="AE66" s="184">
        <f t="shared" si="35"/>
        <v>40000</v>
      </c>
      <c r="AF66" s="184">
        <f t="shared" si="36"/>
        <v>0</v>
      </c>
      <c r="AG66" s="184"/>
      <c r="AH66" s="185"/>
      <c r="AI66" s="28"/>
      <c r="AJ66" s="74"/>
      <c r="AK66" s="23"/>
      <c r="AL66" s="23"/>
      <c r="AM66" s="23"/>
      <c r="AN66" s="23"/>
      <c r="AO66" s="23"/>
      <c r="AP66" s="24">
        <f t="shared" si="37"/>
        <v>0</v>
      </c>
      <c r="AQ66" s="274"/>
      <c r="AR66" s="277"/>
      <c r="AS66" s="277"/>
    </row>
    <row r="67" spans="1:60" s="78" customFormat="1" ht="45" customHeight="1" x14ac:dyDescent="1.1000000000000001">
      <c r="A67" s="54" t="s">
        <v>492</v>
      </c>
      <c r="B67" s="77" t="s">
        <v>493</v>
      </c>
      <c r="C67" s="42"/>
      <c r="D67" s="42"/>
      <c r="E67" s="42"/>
      <c r="F67" s="60"/>
      <c r="G67" s="60"/>
      <c r="H67" s="183">
        <v>0</v>
      </c>
      <c r="I67" s="187">
        <v>0</v>
      </c>
      <c r="J67" s="184">
        <v>0</v>
      </c>
      <c r="K67" s="184">
        <v>0</v>
      </c>
      <c r="L67" s="184">
        <v>0</v>
      </c>
      <c r="M67" s="184">
        <v>0</v>
      </c>
      <c r="N67" s="184">
        <f t="shared" si="38"/>
        <v>0</v>
      </c>
      <c r="O67" s="184"/>
      <c r="P67" s="184"/>
      <c r="Q67" s="187"/>
      <c r="R67" s="184"/>
      <c r="S67" s="184">
        <f t="shared" si="31"/>
        <v>0</v>
      </c>
      <c r="T67" s="184"/>
      <c r="U67" s="184"/>
      <c r="V67" s="184"/>
      <c r="W67" s="184">
        <f t="shared" si="32"/>
        <v>0</v>
      </c>
      <c r="X67" s="185">
        <f t="shared" si="33"/>
        <v>0</v>
      </c>
      <c r="Y67" s="184">
        <v>0</v>
      </c>
      <c r="Z67" s="184">
        <v>0</v>
      </c>
      <c r="AA67" s="184"/>
      <c r="AB67" s="184">
        <f t="shared" si="34"/>
        <v>0</v>
      </c>
      <c r="AC67" s="184"/>
      <c r="AD67" s="184"/>
      <c r="AE67" s="184">
        <f t="shared" si="35"/>
        <v>0</v>
      </c>
      <c r="AF67" s="184">
        <f t="shared" si="36"/>
        <v>0</v>
      </c>
      <c r="AG67" s="184"/>
      <c r="AH67" s="185"/>
      <c r="AI67" s="24"/>
      <c r="AJ67" s="24"/>
      <c r="AK67" s="23"/>
      <c r="AL67" s="23"/>
      <c r="AM67" s="23"/>
      <c r="AN67" s="23"/>
      <c r="AO67" s="23"/>
      <c r="AP67" s="24">
        <f t="shared" si="37"/>
        <v>0</v>
      </c>
      <c r="AQ67" s="274"/>
      <c r="AR67" s="277"/>
      <c r="AS67" s="277"/>
    </row>
    <row r="68" spans="1:60" s="78" customFormat="1" ht="45" customHeight="1" x14ac:dyDescent="1.1000000000000001">
      <c r="A68" s="54"/>
      <c r="B68" s="77" t="s">
        <v>494</v>
      </c>
      <c r="C68" s="42"/>
      <c r="D68" s="42"/>
      <c r="E68" s="42"/>
      <c r="F68" s="60"/>
      <c r="G68" s="60"/>
      <c r="H68" s="183">
        <v>0</v>
      </c>
      <c r="I68" s="187"/>
      <c r="J68" s="184">
        <v>0</v>
      </c>
      <c r="K68" s="184">
        <v>0</v>
      </c>
      <c r="L68" s="184">
        <v>0</v>
      </c>
      <c r="M68" s="184">
        <v>0</v>
      </c>
      <c r="N68" s="184">
        <f t="shared" si="38"/>
        <v>0</v>
      </c>
      <c r="O68" s="184"/>
      <c r="P68" s="184"/>
      <c r="Q68" s="187"/>
      <c r="R68" s="184"/>
      <c r="S68" s="184">
        <f t="shared" si="31"/>
        <v>0</v>
      </c>
      <c r="T68" s="184"/>
      <c r="U68" s="184"/>
      <c r="V68" s="184"/>
      <c r="W68" s="184">
        <f t="shared" si="32"/>
        <v>0</v>
      </c>
      <c r="X68" s="185">
        <f t="shared" si="33"/>
        <v>0</v>
      </c>
      <c r="Y68" s="184">
        <v>0</v>
      </c>
      <c r="Z68" s="184">
        <v>0</v>
      </c>
      <c r="AA68" s="184"/>
      <c r="AB68" s="184">
        <f t="shared" si="34"/>
        <v>0</v>
      </c>
      <c r="AC68" s="184"/>
      <c r="AD68" s="184"/>
      <c r="AE68" s="184">
        <f t="shared" si="35"/>
        <v>0</v>
      </c>
      <c r="AF68" s="184">
        <f t="shared" si="36"/>
        <v>0</v>
      </c>
      <c r="AG68" s="184"/>
      <c r="AH68" s="185"/>
      <c r="AI68" s="24"/>
      <c r="AJ68" s="74"/>
      <c r="AK68" s="23"/>
      <c r="AL68" s="23"/>
      <c r="AM68" s="23"/>
      <c r="AN68" s="23"/>
      <c r="AO68" s="23"/>
      <c r="AP68" s="24">
        <f t="shared" si="37"/>
        <v>0</v>
      </c>
      <c r="AQ68" s="274"/>
      <c r="AR68" s="277"/>
      <c r="AS68" s="277"/>
    </row>
    <row r="69" spans="1:60" s="78" customFormat="1" ht="45" customHeight="1" x14ac:dyDescent="1.1000000000000001">
      <c r="A69" s="54" t="s">
        <v>495</v>
      </c>
      <c r="B69" s="77" t="s">
        <v>496</v>
      </c>
      <c r="C69" s="42" t="s">
        <v>497</v>
      </c>
      <c r="D69" s="42" t="s">
        <v>478</v>
      </c>
      <c r="E69" s="42" t="s">
        <v>452</v>
      </c>
      <c r="F69" s="60" t="s">
        <v>498</v>
      </c>
      <c r="G69" s="60" t="s">
        <v>499</v>
      </c>
      <c r="H69" s="183">
        <v>670000</v>
      </c>
      <c r="I69" s="187">
        <v>0</v>
      </c>
      <c r="J69" s="184">
        <v>0</v>
      </c>
      <c r="K69" s="184">
        <v>0</v>
      </c>
      <c r="L69" s="184">
        <v>0</v>
      </c>
      <c r="M69" s="184">
        <v>0</v>
      </c>
      <c r="N69" s="184">
        <f t="shared" si="38"/>
        <v>0</v>
      </c>
      <c r="O69" s="184"/>
      <c r="P69" s="184"/>
      <c r="Q69" s="223"/>
      <c r="R69" s="184"/>
      <c r="S69" s="184">
        <f t="shared" si="31"/>
        <v>0</v>
      </c>
      <c r="T69" s="184"/>
      <c r="U69" s="184"/>
      <c r="V69" s="184"/>
      <c r="W69" s="184">
        <f t="shared" si="32"/>
        <v>0</v>
      </c>
      <c r="X69" s="185">
        <f t="shared" si="33"/>
        <v>0</v>
      </c>
      <c r="Y69" s="184">
        <v>0</v>
      </c>
      <c r="Z69" s="184">
        <v>0</v>
      </c>
      <c r="AA69" s="184"/>
      <c r="AB69" s="184">
        <f t="shared" si="34"/>
        <v>0</v>
      </c>
      <c r="AC69" s="184"/>
      <c r="AD69" s="184"/>
      <c r="AE69" s="184">
        <f t="shared" si="35"/>
        <v>0</v>
      </c>
      <c r="AF69" s="184">
        <f t="shared" si="36"/>
        <v>670000</v>
      </c>
      <c r="AG69" s="185">
        <v>670000</v>
      </c>
      <c r="AH69" s="63">
        <v>670000</v>
      </c>
      <c r="AI69" s="24">
        <v>670000</v>
      </c>
      <c r="AJ69" s="80"/>
      <c r="AK69" s="23">
        <f>AI69*20%</f>
        <v>134000</v>
      </c>
      <c r="AL69" s="23">
        <f>AI69*20%</f>
        <v>134000</v>
      </c>
      <c r="AM69" s="23">
        <f>AG69*20%</f>
        <v>134000</v>
      </c>
      <c r="AN69" s="23">
        <f>AG69*20%</f>
        <v>134000</v>
      </c>
      <c r="AO69" s="23">
        <f>AG69*20%</f>
        <v>134000</v>
      </c>
      <c r="AP69" s="24">
        <f t="shared" si="37"/>
        <v>670000</v>
      </c>
      <c r="AQ69" s="274">
        <v>670000</v>
      </c>
      <c r="AR69" s="277"/>
      <c r="AS69" s="277"/>
    </row>
    <row r="70" spans="1:60" s="78" customFormat="1" ht="45" customHeight="1" x14ac:dyDescent="1.1000000000000001">
      <c r="A70" s="54" t="s">
        <v>500</v>
      </c>
      <c r="B70" s="77" t="s">
        <v>501</v>
      </c>
      <c r="C70" s="42" t="s">
        <v>502</v>
      </c>
      <c r="D70" s="42" t="s">
        <v>503</v>
      </c>
      <c r="E70" s="42" t="s">
        <v>278</v>
      </c>
      <c r="F70" s="60" t="s">
        <v>356</v>
      </c>
      <c r="G70" s="60" t="s">
        <v>504</v>
      </c>
      <c r="H70" s="183">
        <v>0</v>
      </c>
      <c r="I70" s="187">
        <v>0</v>
      </c>
      <c r="J70" s="184">
        <v>0</v>
      </c>
      <c r="K70" s="184">
        <v>0</v>
      </c>
      <c r="L70" s="184">
        <v>0</v>
      </c>
      <c r="M70" s="184">
        <v>0</v>
      </c>
      <c r="N70" s="184">
        <f t="shared" si="38"/>
        <v>0</v>
      </c>
      <c r="O70" s="184"/>
      <c r="P70" s="184"/>
      <c r="Q70" s="223"/>
      <c r="R70" s="184"/>
      <c r="S70" s="184">
        <f t="shared" si="31"/>
        <v>0</v>
      </c>
      <c r="T70" s="184"/>
      <c r="U70" s="184"/>
      <c r="V70" s="184"/>
      <c r="W70" s="184">
        <f t="shared" si="32"/>
        <v>0</v>
      </c>
      <c r="X70" s="185">
        <f t="shared" si="33"/>
        <v>0</v>
      </c>
      <c r="Y70" s="184">
        <v>0</v>
      </c>
      <c r="Z70" s="184">
        <v>0</v>
      </c>
      <c r="AA70" s="184"/>
      <c r="AB70" s="184">
        <f t="shared" si="34"/>
        <v>0</v>
      </c>
      <c r="AC70" s="184"/>
      <c r="AD70" s="184"/>
      <c r="AE70" s="184">
        <f t="shared" si="35"/>
        <v>0</v>
      </c>
      <c r="AF70" s="184">
        <f t="shared" si="36"/>
        <v>0</v>
      </c>
      <c r="AG70" s="184"/>
      <c r="AH70" s="185"/>
      <c r="AI70" s="28"/>
      <c r="AJ70" s="80"/>
      <c r="AK70" s="23"/>
      <c r="AL70" s="23"/>
      <c r="AM70" s="23"/>
      <c r="AN70" s="23"/>
      <c r="AO70" s="23"/>
      <c r="AP70" s="24">
        <f t="shared" si="37"/>
        <v>0</v>
      </c>
      <c r="AQ70" s="274"/>
      <c r="AR70" s="277"/>
      <c r="AS70" s="277"/>
    </row>
    <row r="71" spans="1:60" s="38" customFormat="1" ht="45" customHeight="1" x14ac:dyDescent="1.1000000000000001">
      <c r="A71" s="81" t="s">
        <v>505</v>
      </c>
      <c r="B71" s="81" t="s">
        <v>506</v>
      </c>
      <c r="C71" s="51" t="s">
        <v>507</v>
      </c>
      <c r="D71" s="51" t="s">
        <v>441</v>
      </c>
      <c r="E71" s="51" t="s">
        <v>442</v>
      </c>
      <c r="F71" s="51" t="s">
        <v>508</v>
      </c>
      <c r="G71" s="51" t="s">
        <v>509</v>
      </c>
      <c r="H71" s="183">
        <v>120000</v>
      </c>
      <c r="I71" s="184">
        <v>0</v>
      </c>
      <c r="J71" s="184">
        <v>36000</v>
      </c>
      <c r="K71" s="184">
        <v>0</v>
      </c>
      <c r="L71" s="184">
        <v>0</v>
      </c>
      <c r="M71" s="184">
        <v>84000</v>
      </c>
      <c r="N71" s="184">
        <f t="shared" si="38"/>
        <v>120000</v>
      </c>
      <c r="O71" s="184"/>
      <c r="P71" s="184"/>
      <c r="Q71" s="184"/>
      <c r="R71" s="184"/>
      <c r="S71" s="184">
        <f t="shared" si="31"/>
        <v>0</v>
      </c>
      <c r="T71" s="184"/>
      <c r="U71" s="184"/>
      <c r="V71" s="184"/>
      <c r="W71" s="184">
        <f t="shared" si="32"/>
        <v>0</v>
      </c>
      <c r="X71" s="185">
        <f t="shared" si="33"/>
        <v>0</v>
      </c>
      <c r="Y71" s="184">
        <v>0</v>
      </c>
      <c r="Z71" s="184">
        <v>0</v>
      </c>
      <c r="AA71" s="184"/>
      <c r="AB71" s="184">
        <f t="shared" si="34"/>
        <v>0</v>
      </c>
      <c r="AC71" s="184"/>
      <c r="AD71" s="184"/>
      <c r="AE71" s="184">
        <f t="shared" si="35"/>
        <v>120000</v>
      </c>
      <c r="AF71" s="184">
        <f t="shared" si="36"/>
        <v>0</v>
      </c>
      <c r="AG71" s="184"/>
      <c r="AH71" s="185"/>
      <c r="AI71" s="28"/>
      <c r="AJ71" s="28"/>
      <c r="AK71" s="23"/>
      <c r="AL71" s="23"/>
      <c r="AM71" s="23"/>
      <c r="AN71" s="23"/>
      <c r="AO71" s="23"/>
      <c r="AP71" s="24">
        <f t="shared" si="37"/>
        <v>0</v>
      </c>
      <c r="AQ71" s="274"/>
      <c r="AR71" s="262"/>
      <c r="AS71" s="262"/>
      <c r="AT71" s="9"/>
      <c r="AU71" s="9"/>
      <c r="AV71" s="9"/>
      <c r="AW71" s="9"/>
      <c r="AX71" s="9"/>
      <c r="AY71" s="9"/>
      <c r="AZ71" s="9"/>
      <c r="BA71" s="9"/>
      <c r="BB71" s="9"/>
      <c r="BC71" s="9"/>
      <c r="BD71" s="9"/>
      <c r="BE71" s="9"/>
      <c r="BF71" s="9"/>
      <c r="BG71" s="9"/>
      <c r="BH71" s="9"/>
    </row>
    <row r="72" spans="1:60" s="38" customFormat="1" ht="45" customHeight="1" x14ac:dyDescent="1.1000000000000001">
      <c r="A72" s="81" t="s">
        <v>510</v>
      </c>
      <c r="B72" s="51" t="s">
        <v>511</v>
      </c>
      <c r="C72" s="51" t="s">
        <v>512</v>
      </c>
      <c r="D72" s="51"/>
      <c r="E72" s="51"/>
      <c r="F72" s="51"/>
      <c r="G72" s="51"/>
      <c r="H72" s="183">
        <v>5685</v>
      </c>
      <c r="I72" s="184"/>
      <c r="J72" s="184"/>
      <c r="K72" s="184"/>
      <c r="L72" s="184"/>
      <c r="M72" s="223"/>
      <c r="N72" s="184"/>
      <c r="O72" s="184"/>
      <c r="P72" s="184"/>
      <c r="Q72" s="184"/>
      <c r="R72" s="184">
        <v>5685</v>
      </c>
      <c r="S72" s="184">
        <f t="shared" si="31"/>
        <v>5685</v>
      </c>
      <c r="T72" s="184"/>
      <c r="U72" s="184"/>
      <c r="V72" s="184"/>
      <c r="W72" s="184">
        <f t="shared" si="32"/>
        <v>0</v>
      </c>
      <c r="X72" s="185">
        <f t="shared" si="33"/>
        <v>5685</v>
      </c>
      <c r="Y72" s="184">
        <v>0</v>
      </c>
      <c r="Z72" s="184">
        <v>0</v>
      </c>
      <c r="AA72" s="184"/>
      <c r="AB72" s="184">
        <f t="shared" si="34"/>
        <v>0</v>
      </c>
      <c r="AC72" s="184"/>
      <c r="AD72" s="184"/>
      <c r="AE72" s="184">
        <f t="shared" si="35"/>
        <v>5685</v>
      </c>
      <c r="AF72" s="184">
        <f t="shared" si="36"/>
        <v>0</v>
      </c>
      <c r="AG72" s="184"/>
      <c r="AH72" s="210"/>
      <c r="AI72" s="28"/>
      <c r="AJ72" s="28"/>
      <c r="AK72" s="23"/>
      <c r="AL72" s="23"/>
      <c r="AM72" s="23"/>
      <c r="AN72" s="23"/>
      <c r="AO72" s="23"/>
      <c r="AP72" s="24"/>
      <c r="AQ72" s="274"/>
      <c r="AR72" s="262"/>
      <c r="AS72" s="262"/>
      <c r="AT72" s="9"/>
      <c r="AU72" s="9"/>
      <c r="AV72" s="9"/>
      <c r="AW72" s="9"/>
      <c r="AX72" s="9"/>
      <c r="AY72" s="9"/>
      <c r="AZ72" s="9"/>
      <c r="BA72" s="9"/>
      <c r="BB72" s="9"/>
      <c r="BC72" s="9"/>
      <c r="BD72" s="9"/>
      <c r="BE72" s="9"/>
      <c r="BF72" s="9"/>
      <c r="BG72" s="9"/>
      <c r="BH72" s="9"/>
    </row>
    <row r="73" spans="1:60" s="38" customFormat="1" ht="45" customHeight="1" x14ac:dyDescent="1.1000000000000001">
      <c r="A73" s="81" t="s">
        <v>513</v>
      </c>
      <c r="B73" s="81" t="s">
        <v>514</v>
      </c>
      <c r="C73" s="224" t="s">
        <v>515</v>
      </c>
      <c r="D73" s="51" t="s">
        <v>516</v>
      </c>
      <c r="E73" s="51" t="s">
        <v>288</v>
      </c>
      <c r="F73" s="51"/>
      <c r="G73" s="51" t="s">
        <v>517</v>
      </c>
      <c r="H73" s="183">
        <v>23824.392484812121</v>
      </c>
      <c r="I73" s="184">
        <v>0</v>
      </c>
      <c r="J73" s="184">
        <v>0</v>
      </c>
      <c r="K73" s="184">
        <v>3657.1034275856896</v>
      </c>
      <c r="L73" s="184">
        <v>2001.0500262506564</v>
      </c>
      <c r="M73" s="184">
        <v>6301.2390309757748</v>
      </c>
      <c r="N73" s="184">
        <f>SUM(J73:M73)</f>
        <v>11959.392484812121</v>
      </c>
      <c r="O73" s="184">
        <v>898</v>
      </c>
      <c r="P73" s="184"/>
      <c r="Q73" s="184">
        <f>1558+1702</f>
        <v>3260</v>
      </c>
      <c r="R73" s="184">
        <v>2205</v>
      </c>
      <c r="S73" s="184">
        <f t="shared" si="31"/>
        <v>5465</v>
      </c>
      <c r="T73" s="184"/>
      <c r="U73" s="184"/>
      <c r="V73" s="184"/>
      <c r="W73" s="184">
        <f t="shared" si="32"/>
        <v>0</v>
      </c>
      <c r="X73" s="185">
        <f t="shared" si="33"/>
        <v>6363</v>
      </c>
      <c r="Y73" s="184">
        <v>1002</v>
      </c>
      <c r="Z73" s="184">
        <v>0</v>
      </c>
      <c r="AA73" s="184">
        <f>(614380+1920846.5)/1501.06</f>
        <v>1688.9574700544949</v>
      </c>
      <c r="AB73" s="184">
        <f t="shared" si="34"/>
        <v>2690.9574700544949</v>
      </c>
      <c r="AC73" s="184"/>
      <c r="AD73" s="184"/>
      <c r="AE73" s="184">
        <f t="shared" si="35"/>
        <v>21013.349954866615</v>
      </c>
      <c r="AF73" s="184">
        <f t="shared" si="36"/>
        <v>2811.0425299455055</v>
      </c>
      <c r="AG73" s="185">
        <f>2237+1863+400</f>
        <v>4500</v>
      </c>
      <c r="AH73" s="184">
        <v>4500</v>
      </c>
      <c r="AI73" s="28"/>
      <c r="AJ73" s="28"/>
      <c r="AK73" s="28">
        <v>4500</v>
      </c>
      <c r="AL73" s="28"/>
      <c r="AM73" s="28"/>
      <c r="AN73" s="28"/>
      <c r="AO73" s="23"/>
      <c r="AP73" s="24">
        <f>AJ73+AK73+AL73+AM73+AN73+AO73</f>
        <v>4500</v>
      </c>
      <c r="AQ73" s="275">
        <f>2811+689</f>
        <v>3500</v>
      </c>
      <c r="AR73" s="262"/>
      <c r="AS73" s="276">
        <v>689</v>
      </c>
      <c r="AT73" s="9"/>
      <c r="AU73" s="9"/>
      <c r="AV73" s="9"/>
      <c r="AW73" s="9"/>
      <c r="AX73" s="9"/>
      <c r="AY73" s="9"/>
      <c r="AZ73" s="9"/>
      <c r="BA73" s="9"/>
      <c r="BB73" s="9"/>
      <c r="BC73" s="9"/>
      <c r="BD73" s="9"/>
      <c r="BE73" s="9"/>
      <c r="BF73" s="9"/>
      <c r="BG73" s="9"/>
      <c r="BH73" s="9"/>
    </row>
    <row r="74" spans="1:60" s="38" customFormat="1" ht="45" customHeight="1" x14ac:dyDescent="1.1000000000000001">
      <c r="A74" s="81" t="s">
        <v>518</v>
      </c>
      <c r="B74" s="51" t="s">
        <v>519</v>
      </c>
      <c r="C74" s="225"/>
      <c r="D74" s="51"/>
      <c r="E74" s="51"/>
      <c r="F74" s="51"/>
      <c r="G74" s="51"/>
      <c r="H74" s="183">
        <v>6525</v>
      </c>
      <c r="I74" s="184"/>
      <c r="J74" s="184"/>
      <c r="K74" s="184"/>
      <c r="L74" s="184"/>
      <c r="M74" s="184"/>
      <c r="N74" s="184"/>
      <c r="O74" s="184"/>
      <c r="P74" s="184"/>
      <c r="Q74" s="184"/>
      <c r="R74" s="184">
        <v>5998</v>
      </c>
      <c r="S74" s="184">
        <f t="shared" si="31"/>
        <v>5998</v>
      </c>
      <c r="T74" s="184"/>
      <c r="U74" s="184"/>
      <c r="V74" s="184">
        <v>527</v>
      </c>
      <c r="W74" s="184">
        <f t="shared" si="32"/>
        <v>527</v>
      </c>
      <c r="X74" s="185">
        <f t="shared" si="33"/>
        <v>6525</v>
      </c>
      <c r="Y74" s="184">
        <v>0</v>
      </c>
      <c r="Z74" s="184">
        <v>0</v>
      </c>
      <c r="AA74" s="184"/>
      <c r="AB74" s="184">
        <f t="shared" si="34"/>
        <v>0</v>
      </c>
      <c r="AC74" s="184"/>
      <c r="AD74" s="184"/>
      <c r="AE74" s="184">
        <f t="shared" si="35"/>
        <v>6525</v>
      </c>
      <c r="AF74" s="184">
        <f t="shared" si="36"/>
        <v>0</v>
      </c>
      <c r="AG74" s="184"/>
      <c r="AH74" s="210"/>
      <c r="AI74" s="185"/>
      <c r="AJ74" s="184"/>
      <c r="AK74" s="82"/>
      <c r="AL74" s="82"/>
      <c r="AM74" s="83"/>
      <c r="AN74" s="82"/>
      <c r="AO74" s="23"/>
      <c r="AP74" s="24">
        <f>AJ74+AK74+AL74+AM74+AN74+AO74</f>
        <v>0</v>
      </c>
      <c r="AQ74" s="274"/>
      <c r="AR74" s="262"/>
      <c r="AS74" s="262"/>
      <c r="AT74" s="9"/>
      <c r="AU74" s="9"/>
      <c r="AV74" s="9"/>
      <c r="AW74" s="9"/>
      <c r="AX74" s="9"/>
      <c r="AY74" s="9"/>
      <c r="AZ74" s="9"/>
      <c r="BA74" s="9"/>
      <c r="BB74" s="9"/>
      <c r="BC74" s="9"/>
      <c r="BD74" s="9"/>
      <c r="BE74" s="9"/>
      <c r="BF74" s="9"/>
      <c r="BG74" s="9"/>
      <c r="BH74" s="9"/>
    </row>
    <row r="75" spans="1:60" s="38" customFormat="1" ht="45" customHeight="1" x14ac:dyDescent="1.1000000000000001">
      <c r="A75" s="81" t="s">
        <v>520</v>
      </c>
      <c r="B75" s="43" t="s">
        <v>521</v>
      </c>
      <c r="C75" s="51" t="s">
        <v>522</v>
      </c>
      <c r="D75" s="51" t="s">
        <v>523</v>
      </c>
      <c r="E75" s="51" t="s">
        <v>306</v>
      </c>
      <c r="F75" s="51"/>
      <c r="G75" s="51"/>
      <c r="H75" s="183">
        <v>8000</v>
      </c>
      <c r="I75" s="184"/>
      <c r="J75" s="184"/>
      <c r="K75" s="184"/>
      <c r="L75" s="184"/>
      <c r="M75" s="184"/>
      <c r="N75" s="184"/>
      <c r="O75" s="184"/>
      <c r="P75" s="184"/>
      <c r="Q75" s="184"/>
      <c r="R75" s="184"/>
      <c r="S75" s="184">
        <f t="shared" si="31"/>
        <v>0</v>
      </c>
      <c r="T75" s="184"/>
      <c r="U75" s="184"/>
      <c r="V75" s="184">
        <v>7607</v>
      </c>
      <c r="W75" s="184">
        <f t="shared" si="32"/>
        <v>7607</v>
      </c>
      <c r="X75" s="185">
        <f t="shared" si="33"/>
        <v>7607</v>
      </c>
      <c r="Y75" s="184">
        <v>0</v>
      </c>
      <c r="Z75" s="184">
        <v>155</v>
      </c>
      <c r="AA75" s="184"/>
      <c r="AB75" s="184">
        <f t="shared" si="34"/>
        <v>155</v>
      </c>
      <c r="AC75" s="184"/>
      <c r="AD75" s="184"/>
      <c r="AE75" s="184">
        <f t="shared" si="35"/>
        <v>7762</v>
      </c>
      <c r="AF75" s="184">
        <f t="shared" si="36"/>
        <v>238</v>
      </c>
      <c r="AG75" s="185">
        <v>238</v>
      </c>
      <c r="AH75" s="185"/>
      <c r="AI75" s="185"/>
      <c r="AJ75" s="184"/>
      <c r="AK75" s="23">
        <v>393</v>
      </c>
      <c r="AL75" s="23"/>
      <c r="AM75" s="83"/>
      <c r="AN75" s="23"/>
      <c r="AO75" s="23"/>
      <c r="AP75" s="24">
        <f>AJ75+AK75+AL75+AM75+AN75+AO75</f>
        <v>393</v>
      </c>
      <c r="AQ75" s="275">
        <v>0</v>
      </c>
      <c r="AR75" s="262" t="s">
        <v>614</v>
      </c>
      <c r="AS75" s="269">
        <v>238</v>
      </c>
      <c r="AT75" s="9"/>
      <c r="AU75" s="9"/>
      <c r="AV75" s="9"/>
      <c r="AW75" s="9"/>
      <c r="AX75" s="9"/>
      <c r="AY75" s="9"/>
      <c r="AZ75" s="9"/>
      <c r="BA75" s="9"/>
      <c r="BB75" s="9"/>
      <c r="BC75" s="9"/>
      <c r="BD75" s="9"/>
      <c r="BE75" s="9"/>
      <c r="BF75" s="9"/>
      <c r="BG75" s="9"/>
      <c r="BH75" s="9"/>
    </row>
    <row r="76" spans="1:60" ht="45" customHeight="1" x14ac:dyDescent="1.1000000000000001">
      <c r="A76" s="81" t="s">
        <v>524</v>
      </c>
      <c r="B76" s="51" t="s">
        <v>525</v>
      </c>
      <c r="C76" s="51"/>
      <c r="D76" s="51"/>
      <c r="E76" s="51"/>
      <c r="F76" s="51"/>
      <c r="G76" s="51"/>
      <c r="H76" s="183">
        <v>0</v>
      </c>
      <c r="I76" s="184"/>
      <c r="J76" s="184"/>
      <c r="K76" s="184"/>
      <c r="L76" s="184"/>
      <c r="M76" s="184"/>
      <c r="N76" s="184"/>
      <c r="O76" s="184"/>
      <c r="P76" s="184"/>
      <c r="Q76" s="184"/>
      <c r="R76" s="184"/>
      <c r="S76" s="184">
        <f t="shared" si="31"/>
        <v>0</v>
      </c>
      <c r="T76" s="184"/>
      <c r="U76" s="184"/>
      <c r="V76" s="184"/>
      <c r="W76" s="184">
        <f t="shared" si="32"/>
        <v>0</v>
      </c>
      <c r="X76" s="185">
        <f t="shared" si="33"/>
        <v>0</v>
      </c>
      <c r="Y76" s="184">
        <v>0</v>
      </c>
      <c r="Z76" s="184">
        <v>0</v>
      </c>
      <c r="AA76" s="184"/>
      <c r="AB76" s="184">
        <f t="shared" si="34"/>
        <v>0</v>
      </c>
      <c r="AC76" s="184"/>
      <c r="AD76" s="184"/>
      <c r="AE76" s="184">
        <f t="shared" si="35"/>
        <v>0</v>
      </c>
      <c r="AF76" s="184">
        <f t="shared" si="36"/>
        <v>0</v>
      </c>
      <c r="AG76" s="184"/>
      <c r="AH76" s="185"/>
      <c r="AI76" s="28"/>
      <c r="AJ76" s="23"/>
      <c r="AK76" s="84"/>
      <c r="AL76" s="84"/>
      <c r="AM76" s="84"/>
      <c r="AN76" s="84"/>
      <c r="AO76" s="84"/>
      <c r="AP76" s="24">
        <f>AJ76+AK76+AL76+AM76+AN76+AO76</f>
        <v>0</v>
      </c>
      <c r="AQ76" s="274"/>
    </row>
    <row r="77" spans="1:60" ht="45" customHeight="1" x14ac:dyDescent="1.1000000000000001">
      <c r="A77" s="54" t="s">
        <v>526</v>
      </c>
      <c r="B77" s="81" t="s">
        <v>527</v>
      </c>
      <c r="C77" s="85"/>
      <c r="D77" s="85"/>
      <c r="E77" s="85"/>
      <c r="F77" s="85"/>
      <c r="G77" s="85"/>
      <c r="H77" s="183">
        <v>0</v>
      </c>
      <c r="I77" s="184"/>
      <c r="J77" s="184"/>
      <c r="K77" s="184"/>
      <c r="L77" s="184"/>
      <c r="M77" s="184"/>
      <c r="N77" s="184"/>
      <c r="O77" s="184"/>
      <c r="P77" s="184"/>
      <c r="Q77" s="86"/>
      <c r="R77" s="184"/>
      <c r="S77" s="184">
        <f t="shared" si="31"/>
        <v>0</v>
      </c>
      <c r="T77" s="184"/>
      <c r="U77" s="184"/>
      <c r="V77" s="184"/>
      <c r="W77" s="184">
        <f t="shared" si="32"/>
        <v>0</v>
      </c>
      <c r="X77" s="185">
        <f t="shared" si="33"/>
        <v>0</v>
      </c>
      <c r="Y77" s="184">
        <v>0</v>
      </c>
      <c r="Z77" s="184">
        <v>0</v>
      </c>
      <c r="AA77" s="184"/>
      <c r="AB77" s="184">
        <f t="shared" si="34"/>
        <v>0</v>
      </c>
      <c r="AC77" s="184"/>
      <c r="AD77" s="184"/>
      <c r="AE77" s="184">
        <f t="shared" si="35"/>
        <v>0</v>
      </c>
      <c r="AF77" s="184">
        <f t="shared" si="36"/>
        <v>0</v>
      </c>
      <c r="AG77" s="184"/>
      <c r="AH77" s="185"/>
      <c r="AI77" s="87"/>
      <c r="AJ77" s="87"/>
      <c r="AK77" s="84"/>
      <c r="AL77" s="84"/>
      <c r="AM77" s="84"/>
      <c r="AN77" s="84"/>
      <c r="AO77" s="84"/>
      <c r="AP77" s="24">
        <f>AJ77+AK77+AL77+AM77+AN77+AO77</f>
        <v>0</v>
      </c>
      <c r="AQ77" s="274"/>
    </row>
    <row r="78" spans="1:60" ht="45" customHeight="1" x14ac:dyDescent="0.8">
      <c r="A78" s="337" t="s">
        <v>528</v>
      </c>
      <c r="B78" s="337"/>
      <c r="C78" s="337"/>
      <c r="D78" s="337"/>
      <c r="E78" s="337"/>
      <c r="F78" s="337"/>
      <c r="G78" s="337"/>
      <c r="H78" s="88">
        <v>2144428.9075186327</v>
      </c>
      <c r="I78" s="88">
        <f t="shared" ref="I78:W78" si="39">SUM(I49:I77)</f>
        <v>155196.45129465242</v>
      </c>
      <c r="J78" s="88">
        <f t="shared" si="39"/>
        <v>221515.40477644445</v>
      </c>
      <c r="K78" s="88">
        <f t="shared" si="39"/>
        <v>83657.103427585695</v>
      </c>
      <c r="L78" s="88">
        <f t="shared" si="39"/>
        <v>53685.200026250655</v>
      </c>
      <c r="M78" s="88">
        <f t="shared" si="39"/>
        <v>111729.74799369984</v>
      </c>
      <c r="N78" s="88">
        <f t="shared" si="39"/>
        <v>470587.45622398064</v>
      </c>
      <c r="O78" s="88">
        <f t="shared" si="39"/>
        <v>97960</v>
      </c>
      <c r="P78" s="88">
        <f t="shared" si="39"/>
        <v>179130</v>
      </c>
      <c r="Q78" s="88">
        <f t="shared" si="39"/>
        <v>126007</v>
      </c>
      <c r="R78" s="88">
        <f t="shared" si="39"/>
        <v>13946</v>
      </c>
      <c r="S78" s="88">
        <f t="shared" si="39"/>
        <v>139953</v>
      </c>
      <c r="T78" s="88">
        <f t="shared" si="39"/>
        <v>0</v>
      </c>
      <c r="U78" s="88">
        <f t="shared" si="39"/>
        <v>0</v>
      </c>
      <c r="V78" s="88">
        <f t="shared" si="39"/>
        <v>8274</v>
      </c>
      <c r="W78" s="88">
        <f t="shared" si="39"/>
        <v>8274</v>
      </c>
      <c r="X78" s="88">
        <f t="shared" si="33"/>
        <v>425317</v>
      </c>
      <c r="Y78" s="88">
        <f t="shared" ref="Y78:AQ78" si="40">SUM(Y49:Y77)</f>
        <v>44766</v>
      </c>
      <c r="Z78" s="88">
        <f t="shared" si="40"/>
        <v>2320</v>
      </c>
      <c r="AA78" s="88">
        <f t="shared" si="40"/>
        <v>1688.9574700544949</v>
      </c>
      <c r="AB78" s="88">
        <f t="shared" si="40"/>
        <v>48774.957470054498</v>
      </c>
      <c r="AC78" s="88">
        <f t="shared" si="40"/>
        <v>148184</v>
      </c>
      <c r="AD78" s="88">
        <f t="shared" si="40"/>
        <v>0</v>
      </c>
      <c r="AE78" s="88">
        <f t="shared" si="40"/>
        <v>1248059.8649886874</v>
      </c>
      <c r="AF78" s="88">
        <f t="shared" si="40"/>
        <v>896369.04252994549</v>
      </c>
      <c r="AG78" s="88">
        <f t="shared" si="40"/>
        <v>1046242</v>
      </c>
      <c r="AH78" s="88">
        <f t="shared" si="40"/>
        <v>1044960</v>
      </c>
      <c r="AI78" s="88">
        <f t="shared" si="40"/>
        <v>1040460</v>
      </c>
      <c r="AJ78" s="88">
        <f t="shared" si="40"/>
        <v>0</v>
      </c>
      <c r="AK78" s="88">
        <f t="shared" si="40"/>
        <v>509353</v>
      </c>
      <c r="AL78" s="88">
        <f t="shared" si="40"/>
        <v>134000</v>
      </c>
      <c r="AM78" s="88">
        <f t="shared" si="40"/>
        <v>134000</v>
      </c>
      <c r="AN78" s="88">
        <f t="shared" si="40"/>
        <v>134000</v>
      </c>
      <c r="AO78" s="88">
        <f t="shared" si="40"/>
        <v>134000</v>
      </c>
      <c r="AP78" s="88">
        <f t="shared" si="40"/>
        <v>1045353</v>
      </c>
      <c r="AQ78" s="273">
        <f t="shared" si="40"/>
        <v>896820</v>
      </c>
    </row>
    <row r="79" spans="1:60" s="8" customFormat="1" ht="45" customHeight="1" x14ac:dyDescent="0.8">
      <c r="A79" s="66">
        <v>3.2</v>
      </c>
      <c r="B79" s="335" t="s">
        <v>529</v>
      </c>
      <c r="C79" s="336"/>
      <c r="D79" s="336"/>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222"/>
      <c r="AI79" s="222"/>
      <c r="AJ79" s="222"/>
      <c r="AK79" s="222"/>
      <c r="AL79" s="222"/>
      <c r="AM79" s="222"/>
      <c r="AN79" s="222"/>
      <c r="AO79" s="222"/>
      <c r="AP79" s="222"/>
      <c r="AQ79" s="272"/>
      <c r="AR79" s="271"/>
      <c r="AS79" s="271"/>
    </row>
    <row r="80" spans="1:60" ht="45" customHeight="1" x14ac:dyDescent="1.1000000000000001">
      <c r="A80" s="81" t="s">
        <v>530</v>
      </c>
      <c r="B80" s="81" t="s">
        <v>531</v>
      </c>
      <c r="C80" s="89" t="s">
        <v>532</v>
      </c>
      <c r="D80" s="85" t="s">
        <v>387</v>
      </c>
      <c r="E80" s="51" t="s">
        <v>288</v>
      </c>
      <c r="F80" s="51" t="s">
        <v>533</v>
      </c>
      <c r="G80" s="51" t="s">
        <v>534</v>
      </c>
      <c r="H80" s="183">
        <v>33729.583726673998</v>
      </c>
      <c r="I80" s="184">
        <v>8267.6967805252389</v>
      </c>
      <c r="J80" s="184">
        <v>4147.6665906398757</v>
      </c>
      <c r="K80" s="184">
        <v>720.0180004500113</v>
      </c>
      <c r="L80" s="184">
        <v>11964.299107477687</v>
      </c>
      <c r="M80" s="184">
        <v>8629.9032475811891</v>
      </c>
      <c r="N80" s="184">
        <f>SUM(J80:M80)</f>
        <v>25461.886946148763</v>
      </c>
      <c r="O80" s="185"/>
      <c r="P80" s="185"/>
      <c r="Q80" s="226"/>
      <c r="R80" s="184"/>
      <c r="S80" s="184">
        <f t="shared" ref="S80:S85" si="41">Q80+R80</f>
        <v>0</v>
      </c>
      <c r="T80" s="184"/>
      <c r="U80" s="184"/>
      <c r="V80" s="184"/>
      <c r="W80" s="184">
        <f t="shared" ref="W80:W85" si="42">T80+U80+V80</f>
        <v>0</v>
      </c>
      <c r="X80" s="185">
        <f t="shared" ref="X80:X86" si="43">W80+S80+P80+O80</f>
        <v>0</v>
      </c>
      <c r="Y80" s="184">
        <v>0</v>
      </c>
      <c r="Z80" s="184">
        <v>0</v>
      </c>
      <c r="AA80" s="184"/>
      <c r="AB80" s="184">
        <f t="shared" ref="AB80:AB85" si="44">Y80+Z80+AA80</f>
        <v>0</v>
      </c>
      <c r="AC80" s="184"/>
      <c r="AD80" s="184"/>
      <c r="AE80" s="184">
        <f t="shared" ref="AE80:AE85" si="45">I80+N80+X80+AB80+AC80+AD80</f>
        <v>33729.583726673998</v>
      </c>
      <c r="AF80" s="184">
        <f t="shared" ref="AF80:AF85" si="46">H80-(I80+N80+X80+AB80+AC80+AD80)</f>
        <v>0</v>
      </c>
      <c r="AG80" s="184"/>
      <c r="AH80" s="185"/>
      <c r="AI80" s="28"/>
      <c r="AJ80" s="71"/>
      <c r="AK80" s="23"/>
      <c r="AL80" s="23"/>
      <c r="AM80" s="23"/>
      <c r="AN80" s="23"/>
      <c r="AO80" s="23"/>
      <c r="AP80" s="24">
        <f t="shared" ref="AP80:AP85" si="47">AJ80+AK80+AL80+AM80+AN80+AO80</f>
        <v>0</v>
      </c>
      <c r="AQ80" s="268"/>
    </row>
    <row r="81" spans="1:46" ht="45" customHeight="1" x14ac:dyDescent="1.1000000000000001">
      <c r="A81" s="81" t="s">
        <v>535</v>
      </c>
      <c r="B81" s="51" t="s">
        <v>536</v>
      </c>
      <c r="C81" s="43" t="s">
        <v>537</v>
      </c>
      <c r="D81" s="85"/>
      <c r="E81" s="42" t="s">
        <v>399</v>
      </c>
      <c r="F81" s="51"/>
      <c r="G81" s="51"/>
      <c r="H81" s="183">
        <v>0</v>
      </c>
      <c r="I81" s="184"/>
      <c r="J81" s="184"/>
      <c r="K81" s="184"/>
      <c r="L81" s="184"/>
      <c r="M81" s="184"/>
      <c r="N81" s="184"/>
      <c r="O81" s="185"/>
      <c r="P81" s="185"/>
      <c r="Q81" s="226"/>
      <c r="R81" s="184"/>
      <c r="S81" s="184">
        <f t="shared" si="41"/>
        <v>0</v>
      </c>
      <c r="T81" s="184"/>
      <c r="U81" s="184"/>
      <c r="V81" s="184"/>
      <c r="W81" s="184">
        <f t="shared" si="42"/>
        <v>0</v>
      </c>
      <c r="X81" s="185">
        <f t="shared" si="43"/>
        <v>0</v>
      </c>
      <c r="Y81" s="184">
        <v>0</v>
      </c>
      <c r="Z81" s="184">
        <v>0</v>
      </c>
      <c r="AA81" s="184"/>
      <c r="AB81" s="184">
        <f t="shared" si="44"/>
        <v>0</v>
      </c>
      <c r="AC81" s="184"/>
      <c r="AD81" s="184"/>
      <c r="AE81" s="184">
        <f t="shared" si="45"/>
        <v>0</v>
      </c>
      <c r="AF81" s="184">
        <f t="shared" si="46"/>
        <v>0</v>
      </c>
      <c r="AG81" s="184"/>
      <c r="AH81" s="185"/>
      <c r="AI81" s="28"/>
      <c r="AJ81" s="71"/>
      <c r="AK81" s="23"/>
      <c r="AL81" s="23"/>
      <c r="AM81" s="23"/>
      <c r="AN81" s="23"/>
      <c r="AO81" s="23"/>
      <c r="AP81" s="24">
        <f t="shared" si="47"/>
        <v>0</v>
      </c>
      <c r="AQ81" s="268"/>
    </row>
    <row r="82" spans="1:46" ht="45" customHeight="1" x14ac:dyDescent="1.1000000000000001">
      <c r="A82" s="81" t="s">
        <v>538</v>
      </c>
      <c r="B82" s="43" t="s">
        <v>539</v>
      </c>
      <c r="C82" s="89" t="s">
        <v>540</v>
      </c>
      <c r="D82" s="51" t="s">
        <v>441</v>
      </c>
      <c r="E82" s="42" t="s">
        <v>399</v>
      </c>
      <c r="F82" s="51"/>
      <c r="G82" s="51"/>
      <c r="H82" s="183">
        <v>0</v>
      </c>
      <c r="I82" s="184"/>
      <c r="J82" s="184"/>
      <c r="K82" s="184"/>
      <c r="L82" s="184"/>
      <c r="M82" s="184"/>
      <c r="N82" s="184">
        <f>SUM(J82:M82)</f>
        <v>0</v>
      </c>
      <c r="O82" s="185"/>
      <c r="P82" s="185"/>
      <c r="Q82" s="226"/>
      <c r="R82" s="184"/>
      <c r="S82" s="184">
        <f t="shared" si="41"/>
        <v>0</v>
      </c>
      <c r="T82" s="184"/>
      <c r="U82" s="184"/>
      <c r="V82" s="184"/>
      <c r="W82" s="184">
        <f t="shared" si="42"/>
        <v>0</v>
      </c>
      <c r="X82" s="185">
        <f t="shared" si="43"/>
        <v>0</v>
      </c>
      <c r="Y82" s="184">
        <v>0</v>
      </c>
      <c r="Z82" s="184">
        <v>0</v>
      </c>
      <c r="AA82" s="184"/>
      <c r="AB82" s="184">
        <f t="shared" si="44"/>
        <v>0</v>
      </c>
      <c r="AC82" s="184"/>
      <c r="AD82" s="184"/>
      <c r="AE82" s="184">
        <f t="shared" si="45"/>
        <v>0</v>
      </c>
      <c r="AF82" s="184">
        <f t="shared" si="46"/>
        <v>0</v>
      </c>
      <c r="AG82" s="184"/>
      <c r="AH82" s="185"/>
      <c r="AI82" s="28"/>
      <c r="AJ82" s="71"/>
      <c r="AK82" s="23"/>
      <c r="AL82" s="23"/>
      <c r="AM82" s="23"/>
      <c r="AN82" s="23"/>
      <c r="AO82" s="23"/>
      <c r="AP82" s="24">
        <f t="shared" si="47"/>
        <v>0</v>
      </c>
      <c r="AQ82" s="268"/>
    </row>
    <row r="83" spans="1:46" ht="45" customHeight="1" x14ac:dyDescent="1.1000000000000001">
      <c r="A83" s="81" t="s">
        <v>541</v>
      </c>
      <c r="B83" s="51" t="s">
        <v>542</v>
      </c>
      <c r="C83" s="43" t="s">
        <v>543</v>
      </c>
      <c r="D83" s="51" t="s">
        <v>544</v>
      </c>
      <c r="E83" s="51" t="s">
        <v>364</v>
      </c>
      <c r="F83" s="51" t="s">
        <v>545</v>
      </c>
      <c r="G83" s="51" t="s">
        <v>546</v>
      </c>
      <c r="H83" s="183">
        <v>24584.736488412211</v>
      </c>
      <c r="I83" s="184">
        <v>0</v>
      </c>
      <c r="J83" s="184">
        <v>0</v>
      </c>
      <c r="K83" s="184">
        <v>0</v>
      </c>
      <c r="L83" s="184">
        <v>12702.736488412211</v>
      </c>
      <c r="M83" s="184">
        <v>0</v>
      </c>
      <c r="N83" s="184">
        <f>SUM(J83:M83)</f>
        <v>12702.736488412211</v>
      </c>
      <c r="O83" s="185"/>
      <c r="P83" s="184">
        <f>567</f>
        <v>567</v>
      </c>
      <c r="Q83" s="227"/>
      <c r="R83" s="184">
        <v>11046</v>
      </c>
      <c r="S83" s="184">
        <f t="shared" si="41"/>
        <v>11046</v>
      </c>
      <c r="T83" s="184"/>
      <c r="U83" s="184"/>
      <c r="V83" s="184"/>
      <c r="W83" s="184">
        <f t="shared" si="42"/>
        <v>0</v>
      </c>
      <c r="X83" s="185">
        <f t="shared" si="43"/>
        <v>11613</v>
      </c>
      <c r="Y83" s="184">
        <v>0</v>
      </c>
      <c r="Z83" s="184">
        <v>0</v>
      </c>
      <c r="AA83" s="184"/>
      <c r="AB83" s="184">
        <f t="shared" si="44"/>
        <v>0</v>
      </c>
      <c r="AC83" s="184"/>
      <c r="AD83" s="184"/>
      <c r="AE83" s="184">
        <f t="shared" si="45"/>
        <v>24315.736488412211</v>
      </c>
      <c r="AF83" s="184">
        <f t="shared" si="46"/>
        <v>269</v>
      </c>
      <c r="AG83" s="185">
        <f>1284-1000-15</f>
        <v>269</v>
      </c>
      <c r="AH83" s="90">
        <v>269</v>
      </c>
      <c r="AI83" s="28"/>
      <c r="AJ83" s="25"/>
      <c r="AK83" s="23">
        <v>269</v>
      </c>
      <c r="AL83" s="23"/>
      <c r="AM83" s="23"/>
      <c r="AN83" s="23"/>
      <c r="AO83" s="23"/>
      <c r="AP83" s="24">
        <f t="shared" si="47"/>
        <v>269</v>
      </c>
      <c r="AQ83" s="270">
        <v>0</v>
      </c>
      <c r="AR83" s="262" t="s">
        <v>614</v>
      </c>
      <c r="AS83" s="269">
        <v>269</v>
      </c>
    </row>
    <row r="84" spans="1:46" ht="45" customHeight="1" x14ac:dyDescent="1.1000000000000001">
      <c r="A84" s="81" t="s">
        <v>547</v>
      </c>
      <c r="B84" s="51" t="s">
        <v>548</v>
      </c>
      <c r="C84" s="51" t="s">
        <v>549</v>
      </c>
      <c r="D84" s="51" t="s">
        <v>544</v>
      </c>
      <c r="E84" s="51" t="s">
        <v>364</v>
      </c>
      <c r="F84" s="51" t="s">
        <v>550</v>
      </c>
      <c r="G84" s="51" t="s">
        <v>551</v>
      </c>
      <c r="H84" s="183">
        <v>13380</v>
      </c>
      <c r="I84" s="184">
        <v>0</v>
      </c>
      <c r="J84" s="184">
        <v>0</v>
      </c>
      <c r="K84" s="184">
        <v>0</v>
      </c>
      <c r="L84" s="184">
        <v>0</v>
      </c>
      <c r="M84" s="184">
        <v>0</v>
      </c>
      <c r="N84" s="184">
        <f>SUM(J84:M84)</f>
        <v>0</v>
      </c>
      <c r="O84" s="185"/>
      <c r="P84" s="185"/>
      <c r="Q84" s="184">
        <f>12256</f>
        <v>12256</v>
      </c>
      <c r="R84" s="184">
        <v>1124</v>
      </c>
      <c r="S84" s="184">
        <f t="shared" si="41"/>
        <v>13380</v>
      </c>
      <c r="T84" s="184"/>
      <c r="U84" s="184"/>
      <c r="V84" s="184"/>
      <c r="W84" s="184">
        <f t="shared" si="42"/>
        <v>0</v>
      </c>
      <c r="X84" s="185">
        <f t="shared" si="43"/>
        <v>13380</v>
      </c>
      <c r="Y84" s="184">
        <v>0</v>
      </c>
      <c r="Z84" s="184">
        <v>0</v>
      </c>
      <c r="AA84" s="184"/>
      <c r="AB84" s="184">
        <f t="shared" si="44"/>
        <v>0</v>
      </c>
      <c r="AC84" s="184"/>
      <c r="AD84" s="184"/>
      <c r="AE84" s="184">
        <f t="shared" si="45"/>
        <v>13380</v>
      </c>
      <c r="AF84" s="184">
        <f t="shared" si="46"/>
        <v>0</v>
      </c>
      <c r="AG84" s="184"/>
      <c r="AH84" s="185"/>
      <c r="AI84" s="28"/>
      <c r="AJ84" s="28"/>
      <c r="AK84" s="23"/>
      <c r="AL84" s="23"/>
      <c r="AM84" s="23"/>
      <c r="AN84" s="23"/>
      <c r="AO84" s="23"/>
      <c r="AP84" s="24">
        <f t="shared" si="47"/>
        <v>0</v>
      </c>
      <c r="AQ84" s="268"/>
    </row>
    <row r="85" spans="1:46" ht="68.25" customHeight="1" x14ac:dyDescent="1.1000000000000001">
      <c r="A85" s="54" t="s">
        <v>552</v>
      </c>
      <c r="B85" s="51" t="s">
        <v>553</v>
      </c>
      <c r="C85" s="51" t="s">
        <v>554</v>
      </c>
      <c r="D85" s="51" t="s">
        <v>441</v>
      </c>
      <c r="E85" s="51" t="s">
        <v>555</v>
      </c>
      <c r="F85" s="51" t="s">
        <v>556</v>
      </c>
      <c r="G85" s="51" t="s">
        <v>557</v>
      </c>
      <c r="H85" s="183">
        <v>30520.897879857293</v>
      </c>
      <c r="I85" s="184">
        <v>0</v>
      </c>
      <c r="J85" s="184">
        <v>5969.7164235273276</v>
      </c>
      <c r="K85" s="184">
        <v>0</v>
      </c>
      <c r="L85" s="184">
        <v>9261.1814563299649</v>
      </c>
      <c r="M85" s="184">
        <v>0</v>
      </c>
      <c r="N85" s="184">
        <f>SUM(J85:M85)</f>
        <v>15230.897879857293</v>
      </c>
      <c r="O85" s="185"/>
      <c r="P85" s="185"/>
      <c r="Q85" s="184"/>
      <c r="R85" s="184">
        <v>15290</v>
      </c>
      <c r="S85" s="184">
        <f t="shared" si="41"/>
        <v>15290</v>
      </c>
      <c r="T85" s="184"/>
      <c r="U85" s="184"/>
      <c r="V85" s="184"/>
      <c r="W85" s="184">
        <f t="shared" si="42"/>
        <v>0</v>
      </c>
      <c r="X85" s="185">
        <f t="shared" si="43"/>
        <v>15290</v>
      </c>
      <c r="Y85" s="184">
        <v>0</v>
      </c>
      <c r="Z85" s="184">
        <v>0</v>
      </c>
      <c r="AA85" s="184"/>
      <c r="AB85" s="184">
        <f t="shared" si="44"/>
        <v>0</v>
      </c>
      <c r="AC85" s="184"/>
      <c r="AD85" s="184"/>
      <c r="AE85" s="184">
        <f t="shared" si="45"/>
        <v>30520.897879857293</v>
      </c>
      <c r="AF85" s="184">
        <f t="shared" si="46"/>
        <v>0</v>
      </c>
      <c r="AG85" s="184"/>
      <c r="AH85" s="185"/>
      <c r="AI85" s="28"/>
      <c r="AJ85" s="28"/>
      <c r="AK85" s="23"/>
      <c r="AL85" s="23"/>
      <c r="AM85" s="23"/>
      <c r="AN85" s="23"/>
      <c r="AO85" s="23"/>
      <c r="AP85" s="24">
        <f t="shared" si="47"/>
        <v>0</v>
      </c>
      <c r="AQ85" s="268"/>
    </row>
    <row r="86" spans="1:46" ht="45" customHeight="1" x14ac:dyDescent="0.8">
      <c r="A86" s="326" t="s">
        <v>558</v>
      </c>
      <c r="B86" s="326"/>
      <c r="C86" s="326"/>
      <c r="D86" s="326"/>
      <c r="E86" s="326"/>
      <c r="F86" s="326"/>
      <c r="G86" s="326"/>
      <c r="H86" s="65">
        <v>102215.2180949435</v>
      </c>
      <c r="I86" s="65">
        <f t="shared" ref="I86:W86" si="48">SUM(I80:I85)</f>
        <v>8267.6967805252389</v>
      </c>
      <c r="J86" s="65">
        <f t="shared" si="48"/>
        <v>10117.383014167204</v>
      </c>
      <c r="K86" s="65">
        <f t="shared" si="48"/>
        <v>720.0180004500113</v>
      </c>
      <c r="L86" s="65">
        <f t="shared" si="48"/>
        <v>33928.217052219865</v>
      </c>
      <c r="M86" s="65">
        <f t="shared" si="48"/>
        <v>8629.9032475811891</v>
      </c>
      <c r="N86" s="65">
        <f t="shared" si="48"/>
        <v>53395.521314418264</v>
      </c>
      <c r="O86" s="65">
        <f t="shared" si="48"/>
        <v>0</v>
      </c>
      <c r="P86" s="65">
        <f t="shared" si="48"/>
        <v>567</v>
      </c>
      <c r="Q86" s="65">
        <f t="shared" si="48"/>
        <v>12256</v>
      </c>
      <c r="R86" s="65">
        <f t="shared" si="48"/>
        <v>27460</v>
      </c>
      <c r="S86" s="65">
        <f t="shared" si="48"/>
        <v>39716</v>
      </c>
      <c r="T86" s="65">
        <f t="shared" si="48"/>
        <v>0</v>
      </c>
      <c r="U86" s="65">
        <f t="shared" si="48"/>
        <v>0</v>
      </c>
      <c r="V86" s="65">
        <f t="shared" si="48"/>
        <v>0</v>
      </c>
      <c r="W86" s="65">
        <f t="shared" si="48"/>
        <v>0</v>
      </c>
      <c r="X86" s="65">
        <f t="shared" si="43"/>
        <v>40283</v>
      </c>
      <c r="Y86" s="65">
        <f t="shared" ref="Y86:AQ86" si="49">SUM(Y80:Y85)</f>
        <v>0</v>
      </c>
      <c r="Z86" s="65">
        <f t="shared" si="49"/>
        <v>0</v>
      </c>
      <c r="AA86" s="65">
        <f t="shared" si="49"/>
        <v>0</v>
      </c>
      <c r="AB86" s="65">
        <f t="shared" si="49"/>
        <v>0</v>
      </c>
      <c r="AC86" s="65">
        <f t="shared" si="49"/>
        <v>0</v>
      </c>
      <c r="AD86" s="65">
        <f t="shared" si="49"/>
        <v>0</v>
      </c>
      <c r="AE86" s="65">
        <f t="shared" si="49"/>
        <v>101946.2180949435</v>
      </c>
      <c r="AF86" s="65">
        <f t="shared" si="49"/>
        <v>269</v>
      </c>
      <c r="AG86" s="65">
        <f t="shared" si="49"/>
        <v>269</v>
      </c>
      <c r="AH86" s="65">
        <f t="shared" si="49"/>
        <v>269</v>
      </c>
      <c r="AI86" s="65">
        <f t="shared" si="49"/>
        <v>0</v>
      </c>
      <c r="AJ86" s="65">
        <f t="shared" si="49"/>
        <v>0</v>
      </c>
      <c r="AK86" s="65">
        <f t="shared" si="49"/>
        <v>269</v>
      </c>
      <c r="AL86" s="65">
        <f t="shared" si="49"/>
        <v>0</v>
      </c>
      <c r="AM86" s="65">
        <f t="shared" si="49"/>
        <v>0</v>
      </c>
      <c r="AN86" s="65">
        <f t="shared" si="49"/>
        <v>0</v>
      </c>
      <c r="AO86" s="65">
        <f t="shared" si="49"/>
        <v>0</v>
      </c>
      <c r="AP86" s="65">
        <f t="shared" si="49"/>
        <v>269</v>
      </c>
      <c r="AQ86" s="267">
        <f t="shared" si="49"/>
        <v>0</v>
      </c>
    </row>
    <row r="87" spans="1:46" s="92" customFormat="1" ht="45" customHeight="1" x14ac:dyDescent="0.65">
      <c r="A87" s="327" t="s">
        <v>559</v>
      </c>
      <c r="B87" s="327"/>
      <c r="C87" s="327"/>
      <c r="D87" s="327"/>
      <c r="E87" s="327" t="s">
        <v>559</v>
      </c>
      <c r="F87" s="327"/>
      <c r="G87" s="327"/>
      <c r="H87" s="91">
        <v>2246644.1256135763</v>
      </c>
      <c r="I87" s="91">
        <f t="shared" ref="I87:AQ87" si="50">I78+I86</f>
        <v>163464.14807517765</v>
      </c>
      <c r="J87" s="91">
        <f t="shared" si="50"/>
        <v>231632.78779061165</v>
      </c>
      <c r="K87" s="91">
        <f t="shared" si="50"/>
        <v>84377.121428035709</v>
      </c>
      <c r="L87" s="91">
        <f t="shared" si="50"/>
        <v>87613.41707847052</v>
      </c>
      <c r="M87" s="91">
        <f t="shared" si="50"/>
        <v>120359.65124128103</v>
      </c>
      <c r="N87" s="91">
        <f t="shared" si="50"/>
        <v>523982.97753839893</v>
      </c>
      <c r="O87" s="91">
        <f t="shared" si="50"/>
        <v>97960</v>
      </c>
      <c r="P87" s="91">
        <f t="shared" si="50"/>
        <v>179697</v>
      </c>
      <c r="Q87" s="91">
        <f t="shared" si="50"/>
        <v>138263</v>
      </c>
      <c r="R87" s="91">
        <f t="shared" si="50"/>
        <v>41406</v>
      </c>
      <c r="S87" s="91">
        <f t="shared" si="50"/>
        <v>179669</v>
      </c>
      <c r="T87" s="91">
        <f t="shared" si="50"/>
        <v>0</v>
      </c>
      <c r="U87" s="91">
        <f t="shared" si="50"/>
        <v>0</v>
      </c>
      <c r="V87" s="91">
        <f t="shared" si="50"/>
        <v>8274</v>
      </c>
      <c r="W87" s="91">
        <f t="shared" si="50"/>
        <v>8274</v>
      </c>
      <c r="X87" s="91">
        <f t="shared" si="50"/>
        <v>465600</v>
      </c>
      <c r="Y87" s="91">
        <f t="shared" si="50"/>
        <v>44766</v>
      </c>
      <c r="Z87" s="91">
        <f t="shared" si="50"/>
        <v>2320</v>
      </c>
      <c r="AA87" s="91">
        <f t="shared" si="50"/>
        <v>1688.9574700544949</v>
      </c>
      <c r="AB87" s="91">
        <f t="shared" si="50"/>
        <v>48774.957470054498</v>
      </c>
      <c r="AC87" s="91">
        <f t="shared" si="50"/>
        <v>148184</v>
      </c>
      <c r="AD87" s="91">
        <f t="shared" si="50"/>
        <v>0</v>
      </c>
      <c r="AE87" s="91">
        <f t="shared" si="50"/>
        <v>1350006.083083631</v>
      </c>
      <c r="AF87" s="91">
        <f t="shared" si="50"/>
        <v>896638.04252994549</v>
      </c>
      <c r="AG87" s="91">
        <f t="shared" si="50"/>
        <v>1046511</v>
      </c>
      <c r="AH87" s="91">
        <f t="shared" si="50"/>
        <v>1045229</v>
      </c>
      <c r="AI87" s="91">
        <f t="shared" si="50"/>
        <v>1040460</v>
      </c>
      <c r="AJ87" s="91">
        <f t="shared" si="50"/>
        <v>0</v>
      </c>
      <c r="AK87" s="91">
        <f t="shared" si="50"/>
        <v>509622</v>
      </c>
      <c r="AL87" s="91">
        <f t="shared" si="50"/>
        <v>134000</v>
      </c>
      <c r="AM87" s="91">
        <f t="shared" si="50"/>
        <v>134000</v>
      </c>
      <c r="AN87" s="91">
        <f t="shared" si="50"/>
        <v>134000</v>
      </c>
      <c r="AO87" s="91">
        <f t="shared" si="50"/>
        <v>134000</v>
      </c>
      <c r="AP87" s="91">
        <f t="shared" si="50"/>
        <v>1045622</v>
      </c>
      <c r="AQ87" s="266">
        <f t="shared" si="50"/>
        <v>896820</v>
      </c>
      <c r="AR87" s="265"/>
      <c r="AS87" s="265"/>
    </row>
    <row r="88" spans="1:46" s="53" customFormat="1" ht="45" customHeight="1" x14ac:dyDescent="0.8">
      <c r="A88" s="328" t="s">
        <v>560</v>
      </c>
      <c r="B88" s="328"/>
      <c r="C88" s="328"/>
      <c r="D88" s="328"/>
      <c r="E88" s="328" t="s">
        <v>561</v>
      </c>
      <c r="F88" s="328"/>
      <c r="G88" s="328"/>
      <c r="H88" s="93">
        <v>3500000.3961762721</v>
      </c>
      <c r="I88" s="93">
        <f t="shared" ref="I88:AQ88" si="51">I17+I46+I87</f>
        <v>253964.54213062377</v>
      </c>
      <c r="J88" s="93">
        <f t="shared" si="51"/>
        <v>384271.13982035569</v>
      </c>
      <c r="K88" s="93">
        <f t="shared" si="51"/>
        <v>108560.07852696319</v>
      </c>
      <c r="L88" s="93">
        <f t="shared" si="51"/>
        <v>258775.25520106708</v>
      </c>
      <c r="M88" s="93">
        <f t="shared" si="51"/>
        <v>160918.89049726242</v>
      </c>
      <c r="N88" s="93">
        <f t="shared" si="51"/>
        <v>912525.36404564837</v>
      </c>
      <c r="O88" s="93">
        <f t="shared" si="51"/>
        <v>214854</v>
      </c>
      <c r="P88" s="93">
        <f t="shared" si="51"/>
        <v>247321</v>
      </c>
      <c r="Q88" s="93">
        <f t="shared" si="51"/>
        <v>195724.43</v>
      </c>
      <c r="R88" s="93">
        <f t="shared" si="51"/>
        <v>141811</v>
      </c>
      <c r="S88" s="93">
        <f t="shared" si="51"/>
        <v>337535.43</v>
      </c>
      <c r="T88" s="93">
        <f t="shared" si="51"/>
        <v>4483</v>
      </c>
      <c r="U88" s="93">
        <f t="shared" si="51"/>
        <v>22226</v>
      </c>
      <c r="V88" s="93">
        <f t="shared" si="51"/>
        <v>9264</v>
      </c>
      <c r="W88" s="93">
        <f t="shared" si="51"/>
        <v>35973</v>
      </c>
      <c r="X88" s="93">
        <f t="shared" si="51"/>
        <v>835683.42999999993</v>
      </c>
      <c r="Y88" s="93">
        <f t="shared" si="51"/>
        <v>86662</v>
      </c>
      <c r="Z88" s="93">
        <f t="shared" si="51"/>
        <v>20639.27</v>
      </c>
      <c r="AA88" s="93">
        <f t="shared" si="51"/>
        <v>24800.790727885629</v>
      </c>
      <c r="AB88" s="93">
        <f t="shared" si="51"/>
        <v>132102.06072788563</v>
      </c>
      <c r="AC88" s="93">
        <f t="shared" si="51"/>
        <v>177578.33213196008</v>
      </c>
      <c r="AD88" s="93">
        <f t="shared" si="51"/>
        <v>14777.2622813212</v>
      </c>
      <c r="AE88" s="93">
        <f t="shared" si="51"/>
        <v>2326630.9913174389</v>
      </c>
      <c r="AF88" s="93">
        <f t="shared" si="51"/>
        <v>1173369.4048588332</v>
      </c>
      <c r="AG88" s="93">
        <f t="shared" si="51"/>
        <v>1390533</v>
      </c>
      <c r="AH88" s="94">
        <f t="shared" si="51"/>
        <v>1390397</v>
      </c>
      <c r="AI88" s="94">
        <f t="shared" si="51"/>
        <v>1382628</v>
      </c>
      <c r="AJ88" s="94">
        <f t="shared" si="51"/>
        <v>0</v>
      </c>
      <c r="AK88" s="94">
        <f t="shared" si="51"/>
        <v>587455</v>
      </c>
      <c r="AL88" s="94">
        <f t="shared" si="51"/>
        <v>224235</v>
      </c>
      <c r="AM88" s="94">
        <f t="shared" si="51"/>
        <v>222349</v>
      </c>
      <c r="AN88" s="94">
        <f t="shared" si="51"/>
        <v>157350</v>
      </c>
      <c r="AO88" s="94">
        <f t="shared" si="51"/>
        <v>199559</v>
      </c>
      <c r="AP88" s="94">
        <f t="shared" si="51"/>
        <v>1390948</v>
      </c>
      <c r="AQ88" s="264">
        <f t="shared" si="51"/>
        <v>1172402</v>
      </c>
      <c r="AR88" s="263"/>
      <c r="AS88" s="263">
        <f>AF88-AQ88</f>
        <v>967.40485883317888</v>
      </c>
      <c r="AT88" s="95"/>
    </row>
    <row r="89" spans="1:46" ht="45" customHeight="1" x14ac:dyDescent="0.8">
      <c r="R89" s="9"/>
      <c r="S89" s="9"/>
      <c r="T89" s="9"/>
      <c r="U89" s="9"/>
      <c r="V89" s="53"/>
      <c r="W89" s="9"/>
      <c r="X89" s="9"/>
      <c r="Y89" s="9"/>
      <c r="Z89" s="9"/>
      <c r="AA89" s="53"/>
      <c r="AB89" s="53"/>
      <c r="AC89" s="53"/>
      <c r="AD89" s="53"/>
      <c r="AE89" s="53"/>
      <c r="AF89" s="53"/>
      <c r="AG89" s="9"/>
      <c r="AH89" s="9"/>
      <c r="AI89" s="9"/>
      <c r="AR89" s="263"/>
    </row>
    <row r="90" spans="1:46" ht="45" customHeight="1" x14ac:dyDescent="1.5">
      <c r="B90" s="97"/>
      <c r="H90" s="53"/>
      <c r="N90" s="9"/>
      <c r="R90" s="9"/>
      <c r="S90" s="9"/>
      <c r="T90" s="53"/>
      <c r="U90" s="9"/>
      <c r="V90" s="9"/>
      <c r="W90" s="9"/>
      <c r="X90" s="9"/>
      <c r="Y90" s="53"/>
      <c r="Z90" s="53"/>
      <c r="AA90" s="53"/>
      <c r="AB90" s="53"/>
      <c r="AC90" s="53"/>
      <c r="AD90" s="53"/>
      <c r="AE90" s="53"/>
      <c r="AF90" s="9"/>
      <c r="AG90" s="9"/>
      <c r="AH90" s="9"/>
      <c r="AI90" s="9"/>
      <c r="AK90" s="9"/>
      <c r="AL90" s="9"/>
      <c r="AM90" s="9"/>
      <c r="AN90" s="9"/>
      <c r="AO90" s="9"/>
    </row>
    <row r="91" spans="1:46" ht="45" customHeight="1" x14ac:dyDescent="1.5">
      <c r="B91" s="97" t="s">
        <v>638</v>
      </c>
      <c r="H91" s="53"/>
      <c r="N91" s="9"/>
      <c r="R91" s="9"/>
      <c r="S91" s="53">
        <f>S88+W88+AB88+AC88+AD88</f>
        <v>697966.08514116693</v>
      </c>
      <c r="T91" s="9"/>
      <c r="U91" s="9"/>
      <c r="V91" s="9"/>
      <c r="W91" s="9"/>
      <c r="X91" s="9"/>
      <c r="Y91" s="9"/>
      <c r="Z91" s="9"/>
      <c r="AA91" s="53"/>
      <c r="AB91" s="53"/>
      <c r="AC91" s="53"/>
      <c r="AD91" s="53"/>
      <c r="AE91" s="53"/>
      <c r="AF91" s="53"/>
      <c r="AG91" s="53"/>
      <c r="AH91" s="9"/>
      <c r="AI91" s="9"/>
      <c r="AK91" s="9"/>
      <c r="AL91" s="9"/>
      <c r="AM91" s="9"/>
      <c r="AN91" s="9"/>
      <c r="AO91" s="9"/>
    </row>
    <row r="92" spans="1:46" ht="45" customHeight="1" x14ac:dyDescent="1.5">
      <c r="B92" s="97"/>
      <c r="H92" s="53"/>
      <c r="N92" s="9"/>
      <c r="R92" s="9"/>
      <c r="S92" s="9"/>
      <c r="T92" s="9"/>
      <c r="U92" s="9"/>
      <c r="V92" s="9"/>
      <c r="W92" s="9"/>
      <c r="X92" s="9"/>
      <c r="Y92" s="9"/>
      <c r="Z92" s="9"/>
      <c r="AA92" s="53"/>
      <c r="AB92" s="9"/>
      <c r="AC92" s="53"/>
      <c r="AD92" s="53"/>
      <c r="AE92" s="9"/>
      <c r="AF92" s="9"/>
      <c r="AG92" s="9"/>
      <c r="AH92" s="9"/>
      <c r="AI92" s="9"/>
      <c r="AK92" s="9"/>
      <c r="AL92" s="9"/>
      <c r="AM92" s="9"/>
      <c r="AN92" s="9"/>
      <c r="AO92" s="9"/>
    </row>
    <row r="93" spans="1:46" ht="45" customHeight="1" x14ac:dyDescent="1.5">
      <c r="B93" s="97"/>
      <c r="H93" s="53"/>
      <c r="N93" s="9"/>
      <c r="R93" s="9"/>
      <c r="S93" s="9"/>
      <c r="T93" s="9"/>
      <c r="U93" s="9"/>
      <c r="V93" s="9"/>
      <c r="W93" s="9"/>
      <c r="X93" s="9"/>
      <c r="Y93" s="9"/>
      <c r="Z93" s="9"/>
      <c r="AA93" s="53"/>
      <c r="AB93" s="9"/>
      <c r="AC93" s="9"/>
      <c r="AD93" s="9"/>
      <c r="AE93" s="9"/>
      <c r="AF93" s="9"/>
      <c r="AG93" s="9"/>
      <c r="AH93" s="9"/>
      <c r="AI93" s="9"/>
      <c r="AK93" s="9"/>
      <c r="AL93" s="9"/>
      <c r="AM93" s="9"/>
      <c r="AN93" s="9"/>
      <c r="AO93" s="9"/>
    </row>
    <row r="94" spans="1:46" ht="45" customHeight="1" x14ac:dyDescent="1.5">
      <c r="B94" s="97"/>
      <c r="H94" s="53"/>
      <c r="N94" s="9"/>
      <c r="R94" s="9"/>
      <c r="S94" s="9"/>
      <c r="T94" s="9"/>
      <c r="U94" s="9"/>
      <c r="V94" s="9"/>
      <c r="W94" s="9"/>
      <c r="X94" s="9"/>
      <c r="Y94" s="9"/>
      <c r="Z94" s="9"/>
      <c r="AA94" s="9"/>
      <c r="AB94" s="9"/>
      <c r="AC94" s="9"/>
      <c r="AD94" s="9"/>
      <c r="AE94" s="9"/>
      <c r="AF94" s="9"/>
      <c r="AG94" s="9"/>
      <c r="AH94" s="9"/>
      <c r="AI94" s="9"/>
      <c r="AK94" s="9"/>
      <c r="AL94" s="9"/>
      <c r="AM94" s="9"/>
      <c r="AN94" s="9"/>
      <c r="AO94" s="9"/>
    </row>
    <row r="95" spans="1:46" ht="45" customHeight="1" x14ac:dyDescent="0.8">
      <c r="N95" s="9"/>
      <c r="R95" s="9"/>
      <c r="S95" s="9"/>
      <c r="T95" s="9"/>
      <c r="U95" s="9"/>
      <c r="V95" s="9"/>
      <c r="W95" s="9"/>
      <c r="X95" s="9"/>
      <c r="Y95" s="9"/>
      <c r="Z95" s="9"/>
      <c r="AA95" s="9"/>
      <c r="AB95" s="9"/>
      <c r="AC95" s="9"/>
      <c r="AD95" s="9"/>
      <c r="AE95" s="9"/>
      <c r="AF95" s="9"/>
      <c r="AG95" s="9"/>
      <c r="AH95" s="9"/>
      <c r="AI95" s="9"/>
      <c r="AK95" s="9"/>
      <c r="AL95" s="9"/>
      <c r="AM95" s="9"/>
      <c r="AN95" s="9"/>
      <c r="AO95" s="9"/>
    </row>
    <row r="96" spans="1:46" ht="45" customHeight="1" x14ac:dyDescent="0.8">
      <c r="N96" s="9"/>
      <c r="R96" s="9"/>
      <c r="S96" s="9"/>
      <c r="T96" s="9"/>
      <c r="U96" s="9"/>
      <c r="V96" s="9"/>
      <c r="W96" s="9"/>
      <c r="X96" s="9"/>
      <c r="Y96" s="9"/>
      <c r="Z96" s="9"/>
      <c r="AA96" s="9"/>
      <c r="AB96" s="9"/>
      <c r="AC96" s="9"/>
      <c r="AD96" s="9"/>
      <c r="AE96" s="9"/>
      <c r="AF96" s="9"/>
      <c r="AG96" s="9"/>
      <c r="AH96" s="9"/>
      <c r="AI96" s="9"/>
      <c r="AK96" s="9"/>
      <c r="AL96" s="9"/>
      <c r="AM96" s="9"/>
      <c r="AN96" s="9"/>
      <c r="AO96" s="9"/>
    </row>
    <row r="97" spans="14:41" ht="45" customHeight="1" x14ac:dyDescent="0.8">
      <c r="N97" s="9"/>
      <c r="R97" s="9"/>
      <c r="S97" s="9"/>
      <c r="T97" s="9"/>
      <c r="U97" s="9"/>
      <c r="V97" s="9"/>
      <c r="W97" s="9"/>
      <c r="X97" s="9"/>
      <c r="Y97" s="9"/>
      <c r="Z97" s="9"/>
      <c r="AA97" s="53"/>
      <c r="AB97" s="9"/>
      <c r="AC97" s="9"/>
      <c r="AD97" s="9"/>
      <c r="AE97" s="9"/>
      <c r="AF97" s="9"/>
      <c r="AG97" s="9"/>
      <c r="AH97" s="9"/>
      <c r="AI97" s="9"/>
      <c r="AK97" s="9"/>
      <c r="AL97" s="9"/>
      <c r="AM97" s="9"/>
      <c r="AN97" s="9"/>
      <c r="AO97" s="9"/>
    </row>
    <row r="98" spans="14:41" ht="45" customHeight="1" x14ac:dyDescent="0.8">
      <c r="N98" s="9"/>
      <c r="R98" s="9"/>
      <c r="S98" s="9"/>
      <c r="T98" s="9"/>
      <c r="U98" s="9"/>
      <c r="V98" s="9"/>
      <c r="W98" s="9"/>
      <c r="X98" s="9"/>
      <c r="Y98" s="9"/>
      <c r="Z98" s="9"/>
      <c r="AA98" s="9"/>
      <c r="AB98" s="9"/>
      <c r="AC98" s="9"/>
      <c r="AD98" s="9"/>
      <c r="AE98" s="9"/>
      <c r="AF98" s="9"/>
      <c r="AG98" s="9"/>
      <c r="AH98" s="9"/>
      <c r="AI98" s="9"/>
      <c r="AK98" s="9"/>
      <c r="AL98" s="9"/>
      <c r="AM98" s="9"/>
      <c r="AN98" s="9"/>
      <c r="AO98" s="9"/>
    </row>
    <row r="99" spans="14:41" ht="45" customHeight="1" x14ac:dyDescent="0.8">
      <c r="N99" s="9"/>
      <c r="R99" s="9"/>
      <c r="S99" s="9"/>
      <c r="T99" s="9"/>
      <c r="U99" s="9"/>
      <c r="V99" s="9"/>
      <c r="W99" s="9"/>
      <c r="X99" s="9"/>
      <c r="Y99" s="9"/>
      <c r="Z99" s="9"/>
      <c r="AA99" s="9"/>
      <c r="AB99" s="9"/>
      <c r="AC99" s="9"/>
      <c r="AD99" s="9"/>
      <c r="AE99" s="9"/>
      <c r="AF99" s="9"/>
      <c r="AG99" s="9"/>
      <c r="AH99" s="9"/>
      <c r="AI99" s="9"/>
      <c r="AK99" s="9"/>
      <c r="AL99" s="9"/>
      <c r="AM99" s="9"/>
      <c r="AN99" s="9"/>
      <c r="AO99" s="9"/>
    </row>
    <row r="100" spans="14:41" ht="45" customHeight="1" x14ac:dyDescent="0.8">
      <c r="N100" s="9"/>
      <c r="R100" s="9"/>
      <c r="S100" s="9"/>
      <c r="T100" s="9"/>
      <c r="U100" s="9"/>
      <c r="V100" s="9"/>
      <c r="W100" s="9"/>
      <c r="X100" s="9"/>
      <c r="Y100" s="9"/>
      <c r="Z100" s="9"/>
      <c r="AA100" s="9"/>
      <c r="AB100" s="9"/>
      <c r="AC100" s="9"/>
      <c r="AD100" s="9"/>
      <c r="AE100" s="9"/>
      <c r="AF100" s="9"/>
      <c r="AG100" s="9"/>
      <c r="AH100" s="9"/>
      <c r="AI100" s="9"/>
      <c r="AK100" s="9"/>
      <c r="AL100" s="9"/>
      <c r="AM100" s="9"/>
      <c r="AN100" s="9"/>
      <c r="AO100" s="9"/>
    </row>
    <row r="101" spans="14:41" ht="45" customHeight="1" x14ac:dyDescent="0.8">
      <c r="N101" s="9"/>
      <c r="R101" s="9"/>
      <c r="S101" s="9"/>
      <c r="T101" s="9"/>
      <c r="U101" s="9"/>
      <c r="V101" s="9"/>
      <c r="W101" s="9"/>
      <c r="X101" s="9"/>
      <c r="Y101" s="9"/>
      <c r="Z101" s="9"/>
      <c r="AA101" s="9"/>
      <c r="AB101" s="9"/>
      <c r="AC101" s="9"/>
      <c r="AD101" s="9"/>
      <c r="AE101" s="9"/>
      <c r="AF101" s="9"/>
      <c r="AG101" s="9"/>
      <c r="AH101" s="9"/>
      <c r="AI101" s="9"/>
      <c r="AK101" s="9"/>
      <c r="AL101" s="9"/>
      <c r="AM101" s="9"/>
      <c r="AN101" s="9"/>
      <c r="AO101" s="9"/>
    </row>
    <row r="102" spans="14:41" ht="45" customHeight="1" x14ac:dyDescent="0.8">
      <c r="N102" s="9"/>
      <c r="R102" s="9"/>
      <c r="S102" s="9"/>
      <c r="T102" s="9"/>
      <c r="U102" s="9"/>
      <c r="V102" s="9"/>
      <c r="W102" s="9"/>
      <c r="X102" s="9"/>
      <c r="Y102" s="9"/>
      <c r="Z102" s="9"/>
      <c r="AA102" s="9"/>
      <c r="AB102" s="9"/>
      <c r="AC102" s="9"/>
      <c r="AD102" s="9"/>
      <c r="AE102" s="9"/>
      <c r="AF102" s="9"/>
      <c r="AG102" s="9"/>
      <c r="AH102" s="9"/>
      <c r="AI102" s="9"/>
      <c r="AK102" s="9"/>
      <c r="AL102" s="9"/>
      <c r="AM102" s="9"/>
      <c r="AN102" s="9"/>
      <c r="AO102" s="9"/>
    </row>
    <row r="103" spans="14:41" ht="45" customHeight="1" x14ac:dyDescent="0.8">
      <c r="N103" s="9"/>
      <c r="R103" s="9"/>
      <c r="S103" s="9"/>
      <c r="T103" s="9"/>
      <c r="U103" s="9"/>
      <c r="V103" s="9"/>
      <c r="W103" s="9"/>
      <c r="X103" s="9"/>
      <c r="Y103" s="9"/>
      <c r="Z103" s="9"/>
      <c r="AA103" s="9"/>
      <c r="AB103" s="9"/>
      <c r="AC103" s="9"/>
      <c r="AD103" s="9"/>
      <c r="AE103" s="9"/>
      <c r="AF103" s="9"/>
      <c r="AG103" s="9"/>
      <c r="AH103" s="9"/>
      <c r="AI103" s="9"/>
      <c r="AK103" s="9"/>
      <c r="AL103" s="9"/>
      <c r="AM103" s="9"/>
      <c r="AN103" s="9"/>
      <c r="AO103" s="9"/>
    </row>
    <row r="104" spans="14:41" ht="45" customHeight="1" x14ac:dyDescent="0.8">
      <c r="N104" s="9"/>
      <c r="R104" s="9"/>
      <c r="S104" s="9"/>
      <c r="T104" s="9"/>
      <c r="U104" s="9"/>
      <c r="V104" s="9"/>
      <c r="W104" s="9"/>
      <c r="X104" s="9"/>
      <c r="Y104" s="9"/>
      <c r="Z104" s="9"/>
      <c r="AA104" s="9"/>
      <c r="AB104" s="9"/>
      <c r="AC104" s="9"/>
      <c r="AD104" s="9"/>
      <c r="AE104" s="9"/>
      <c r="AF104" s="9"/>
      <c r="AG104" s="9"/>
      <c r="AH104" s="9"/>
      <c r="AI104" s="9"/>
      <c r="AK104" s="9"/>
      <c r="AL104" s="9"/>
      <c r="AM104" s="9"/>
      <c r="AN104" s="9"/>
      <c r="AO104" s="9"/>
    </row>
    <row r="105" spans="14:41" ht="45" customHeight="1" x14ac:dyDescent="0.8">
      <c r="N105" s="9"/>
      <c r="R105" s="9"/>
      <c r="S105" s="9"/>
      <c r="T105" s="9"/>
      <c r="U105" s="9"/>
      <c r="V105" s="9"/>
      <c r="W105" s="9"/>
      <c r="X105" s="9"/>
      <c r="Y105" s="9"/>
      <c r="Z105" s="9"/>
      <c r="AA105" s="9"/>
      <c r="AB105" s="9"/>
      <c r="AC105" s="9"/>
      <c r="AD105" s="9"/>
      <c r="AE105" s="9"/>
      <c r="AF105" s="9"/>
      <c r="AG105" s="9"/>
      <c r="AH105" s="9"/>
      <c r="AI105" s="9"/>
      <c r="AK105" s="9"/>
      <c r="AL105" s="9"/>
      <c r="AM105" s="9"/>
      <c r="AN105" s="9"/>
      <c r="AO105" s="9"/>
    </row>
    <row r="106" spans="14:41" ht="45" customHeight="1" x14ac:dyDescent="0.8">
      <c r="N106" s="9"/>
      <c r="R106" s="9"/>
      <c r="S106" s="9"/>
      <c r="T106" s="9"/>
      <c r="U106" s="9"/>
      <c r="V106" s="9"/>
      <c r="W106" s="9"/>
      <c r="X106" s="9"/>
      <c r="Y106" s="9"/>
      <c r="Z106" s="9"/>
      <c r="AA106" s="9"/>
      <c r="AB106" s="9"/>
      <c r="AC106" s="9"/>
      <c r="AD106" s="9"/>
      <c r="AE106" s="9"/>
      <c r="AF106" s="9"/>
      <c r="AG106" s="9"/>
      <c r="AH106" s="9"/>
      <c r="AI106" s="9"/>
      <c r="AK106" s="9"/>
      <c r="AL106" s="9"/>
      <c r="AM106" s="9"/>
      <c r="AN106" s="9"/>
      <c r="AO106" s="9"/>
    </row>
    <row r="107" spans="14:41" ht="45" customHeight="1" x14ac:dyDescent="0.8">
      <c r="N107" s="9"/>
      <c r="R107" s="9"/>
      <c r="S107" s="9"/>
      <c r="T107" s="9"/>
      <c r="U107" s="9"/>
      <c r="V107" s="9"/>
      <c r="W107" s="9"/>
      <c r="X107" s="9"/>
      <c r="Y107" s="9"/>
      <c r="Z107" s="9"/>
      <c r="AA107" s="9"/>
      <c r="AB107" s="9"/>
      <c r="AC107" s="9"/>
      <c r="AD107" s="9"/>
      <c r="AE107" s="9"/>
      <c r="AF107" s="9"/>
      <c r="AG107" s="9"/>
      <c r="AH107" s="9"/>
      <c r="AI107" s="9"/>
      <c r="AK107" s="9"/>
      <c r="AL107" s="9"/>
      <c r="AM107" s="9"/>
      <c r="AN107" s="9"/>
      <c r="AO107" s="9"/>
    </row>
    <row r="108" spans="14:41" ht="45" customHeight="1" x14ac:dyDescent="0.8">
      <c r="N108" s="9"/>
      <c r="R108" s="9"/>
      <c r="S108" s="9"/>
      <c r="T108" s="9"/>
      <c r="U108" s="9"/>
      <c r="V108" s="9"/>
      <c r="W108" s="9"/>
      <c r="X108" s="9"/>
      <c r="Y108" s="9"/>
      <c r="Z108" s="9"/>
      <c r="AA108" s="9"/>
      <c r="AB108" s="9"/>
      <c r="AC108" s="9"/>
      <c r="AD108" s="9"/>
      <c r="AE108" s="9"/>
      <c r="AF108" s="9"/>
      <c r="AG108" s="9"/>
      <c r="AH108" s="9"/>
      <c r="AI108" s="9"/>
      <c r="AK108" s="9"/>
      <c r="AL108" s="9"/>
      <c r="AM108" s="9"/>
      <c r="AN108" s="9"/>
      <c r="AO108" s="9"/>
    </row>
    <row r="109" spans="14:41" ht="45" customHeight="1" x14ac:dyDescent="0.8">
      <c r="N109" s="9"/>
      <c r="R109" s="9"/>
      <c r="S109" s="9"/>
      <c r="T109" s="9"/>
      <c r="U109" s="9"/>
      <c r="V109" s="9"/>
      <c r="W109" s="9"/>
      <c r="X109" s="9"/>
      <c r="Y109" s="9"/>
      <c r="Z109" s="9"/>
      <c r="AA109" s="9"/>
      <c r="AB109" s="9"/>
      <c r="AC109" s="9"/>
      <c r="AD109" s="9"/>
      <c r="AE109" s="9"/>
      <c r="AF109" s="9"/>
      <c r="AG109" s="9"/>
      <c r="AH109" s="9"/>
      <c r="AI109" s="9"/>
      <c r="AK109" s="9"/>
      <c r="AL109" s="9"/>
      <c r="AM109" s="9"/>
      <c r="AN109" s="9"/>
      <c r="AO109" s="9"/>
    </row>
    <row r="110" spans="14:41" x14ac:dyDescent="0.8">
      <c r="X110" s="9"/>
      <c r="Y110" s="9"/>
      <c r="Z110" s="9"/>
      <c r="AA110" s="9"/>
      <c r="AB110" s="9"/>
      <c r="AC110" s="9"/>
      <c r="AD110" s="9"/>
      <c r="AE110" s="9"/>
      <c r="AF110" s="9"/>
      <c r="AG110" s="9"/>
      <c r="AH110" s="9"/>
      <c r="AI110" s="9"/>
      <c r="AK110" s="9"/>
      <c r="AL110" s="9"/>
      <c r="AM110" s="9"/>
      <c r="AN110" s="9"/>
      <c r="AO110" s="9"/>
    </row>
    <row r="111" spans="14:41" x14ac:dyDescent="0.8">
      <c r="X111" s="9"/>
      <c r="Y111" s="9"/>
      <c r="Z111" s="9"/>
      <c r="AA111" s="9"/>
      <c r="AB111" s="9"/>
      <c r="AC111" s="9"/>
      <c r="AD111" s="9"/>
      <c r="AE111" s="9"/>
      <c r="AF111" s="9"/>
      <c r="AG111" s="9"/>
      <c r="AH111" s="9"/>
      <c r="AI111" s="9"/>
      <c r="AK111" s="9"/>
      <c r="AL111" s="9"/>
      <c r="AM111" s="9"/>
      <c r="AN111" s="9"/>
      <c r="AO111" s="9"/>
    </row>
    <row r="112" spans="14:41" x14ac:dyDescent="0.8">
      <c r="X112" s="9"/>
      <c r="Y112" s="9"/>
      <c r="Z112" s="9"/>
      <c r="AA112" s="9"/>
      <c r="AB112" s="9"/>
      <c r="AC112" s="9"/>
      <c r="AD112" s="9"/>
      <c r="AE112" s="9"/>
      <c r="AF112" s="9"/>
      <c r="AG112" s="9"/>
      <c r="AH112" s="9"/>
      <c r="AI112" s="9"/>
      <c r="AK112" s="9"/>
      <c r="AL112" s="9"/>
      <c r="AM112" s="9"/>
      <c r="AN112" s="9"/>
      <c r="AO112" s="9"/>
    </row>
    <row r="113" spans="24:41" x14ac:dyDescent="0.8">
      <c r="X113" s="9"/>
      <c r="Y113" s="9"/>
      <c r="Z113" s="9"/>
      <c r="AA113" s="9"/>
      <c r="AB113" s="9"/>
      <c r="AC113" s="9"/>
      <c r="AD113" s="9"/>
      <c r="AE113" s="9"/>
      <c r="AF113" s="9"/>
      <c r="AG113" s="9"/>
      <c r="AH113" s="9"/>
      <c r="AI113" s="9"/>
      <c r="AK113" s="9"/>
      <c r="AL113" s="9"/>
      <c r="AM113" s="9"/>
      <c r="AN113" s="9"/>
      <c r="AO113" s="9"/>
    </row>
    <row r="114" spans="24:41" x14ac:dyDescent="0.8">
      <c r="X114" s="9"/>
      <c r="Y114" s="9"/>
      <c r="Z114" s="9"/>
      <c r="AA114" s="9"/>
      <c r="AB114" s="9"/>
      <c r="AC114" s="9"/>
      <c r="AD114" s="9"/>
      <c r="AE114" s="9"/>
      <c r="AF114" s="9"/>
      <c r="AG114" s="9"/>
      <c r="AH114" s="9"/>
      <c r="AI114" s="9"/>
      <c r="AK114" s="9"/>
      <c r="AL114" s="9"/>
      <c r="AM114" s="9"/>
      <c r="AN114" s="9"/>
      <c r="AO114" s="9"/>
    </row>
    <row r="115" spans="24:41" x14ac:dyDescent="0.8">
      <c r="X115" s="9"/>
      <c r="Y115" s="9"/>
      <c r="Z115" s="9"/>
      <c r="AA115" s="9"/>
      <c r="AB115" s="9"/>
      <c r="AC115" s="9"/>
      <c r="AD115" s="9"/>
      <c r="AE115" s="9"/>
      <c r="AF115" s="9"/>
      <c r="AG115" s="9"/>
      <c r="AH115" s="9"/>
      <c r="AI115" s="9"/>
      <c r="AK115" s="9"/>
      <c r="AL115" s="9"/>
      <c r="AM115" s="9"/>
      <c r="AN115" s="9"/>
      <c r="AO115" s="9"/>
    </row>
    <row r="116" spans="24:41" x14ac:dyDescent="0.8">
      <c r="X116" s="9"/>
      <c r="Y116" s="9"/>
      <c r="Z116" s="9"/>
      <c r="AA116" s="9"/>
      <c r="AB116" s="9"/>
      <c r="AC116" s="9"/>
      <c r="AD116" s="9"/>
      <c r="AE116" s="9"/>
      <c r="AF116" s="9"/>
      <c r="AG116" s="9"/>
      <c r="AH116" s="9"/>
      <c r="AI116" s="9"/>
      <c r="AK116" s="9"/>
      <c r="AL116" s="9"/>
      <c r="AM116" s="9"/>
      <c r="AN116" s="9"/>
      <c r="AO116" s="9"/>
    </row>
    <row r="117" spans="24:41" x14ac:dyDescent="0.8">
      <c r="X117" s="9"/>
      <c r="Y117" s="9"/>
      <c r="Z117" s="9"/>
      <c r="AA117" s="9"/>
      <c r="AB117" s="9"/>
      <c r="AC117" s="9"/>
      <c r="AD117" s="9"/>
      <c r="AE117" s="9"/>
      <c r="AF117" s="9"/>
      <c r="AG117" s="9"/>
      <c r="AH117" s="9"/>
      <c r="AI117" s="9"/>
      <c r="AK117" s="9"/>
      <c r="AL117" s="9"/>
      <c r="AM117" s="9"/>
      <c r="AN117" s="9"/>
      <c r="AO117" s="9"/>
    </row>
    <row r="118" spans="24:41" x14ac:dyDescent="0.8">
      <c r="X118" s="9"/>
      <c r="Y118" s="9"/>
      <c r="Z118" s="9"/>
      <c r="AA118" s="9"/>
      <c r="AB118" s="9"/>
      <c r="AC118" s="9"/>
      <c r="AD118" s="9"/>
      <c r="AE118" s="9"/>
      <c r="AF118" s="9"/>
      <c r="AG118" s="9"/>
      <c r="AH118" s="9"/>
      <c r="AI118" s="9"/>
      <c r="AK118" s="9"/>
      <c r="AL118" s="9"/>
      <c r="AM118" s="9"/>
      <c r="AN118" s="9"/>
      <c r="AO118" s="9"/>
    </row>
    <row r="119" spans="24:41" x14ac:dyDescent="0.8">
      <c r="X119" s="9"/>
      <c r="Y119" s="9"/>
      <c r="Z119" s="9"/>
      <c r="AA119" s="9"/>
      <c r="AB119" s="9"/>
      <c r="AC119" s="9"/>
      <c r="AD119" s="9"/>
      <c r="AE119" s="9"/>
      <c r="AF119" s="9"/>
      <c r="AG119" s="9"/>
      <c r="AH119" s="9"/>
      <c r="AI119" s="9"/>
      <c r="AK119" s="9"/>
      <c r="AL119" s="9"/>
      <c r="AM119" s="9"/>
      <c r="AN119" s="9"/>
      <c r="AO119" s="9"/>
    </row>
    <row r="120" spans="24:41" x14ac:dyDescent="0.8">
      <c r="X120" s="9"/>
      <c r="Y120" s="9"/>
      <c r="Z120" s="9"/>
      <c r="AA120" s="9"/>
      <c r="AB120" s="9"/>
      <c r="AC120" s="9"/>
      <c r="AD120" s="9"/>
      <c r="AE120" s="9"/>
      <c r="AF120" s="9"/>
      <c r="AG120" s="9"/>
      <c r="AH120" s="9"/>
      <c r="AI120" s="9"/>
      <c r="AK120" s="9"/>
      <c r="AL120" s="9"/>
      <c r="AM120" s="9"/>
      <c r="AN120" s="9"/>
      <c r="AO120" s="9"/>
    </row>
    <row r="121" spans="24:41" x14ac:dyDescent="0.8">
      <c r="X121" s="9"/>
      <c r="Y121" s="9"/>
      <c r="Z121" s="9"/>
      <c r="AA121" s="9"/>
      <c r="AB121" s="9"/>
      <c r="AC121" s="9"/>
      <c r="AD121" s="9"/>
      <c r="AE121" s="9"/>
      <c r="AF121" s="9"/>
      <c r="AG121" s="9"/>
      <c r="AH121" s="9"/>
      <c r="AI121" s="9"/>
      <c r="AK121" s="9"/>
      <c r="AL121" s="9"/>
      <c r="AM121" s="9"/>
      <c r="AN121" s="9"/>
      <c r="AO121" s="9"/>
    </row>
    <row r="122" spans="24:41" x14ac:dyDescent="0.8">
      <c r="X122" s="9"/>
      <c r="Y122" s="9"/>
      <c r="Z122" s="9"/>
      <c r="AA122" s="9"/>
      <c r="AB122" s="9"/>
      <c r="AC122" s="9"/>
      <c r="AD122" s="9"/>
      <c r="AE122" s="9"/>
      <c r="AF122" s="9"/>
      <c r="AG122" s="9"/>
      <c r="AH122" s="9"/>
      <c r="AI122" s="9"/>
      <c r="AK122" s="9"/>
      <c r="AL122" s="9"/>
      <c r="AM122" s="9"/>
      <c r="AN122" s="9"/>
      <c r="AO122" s="9"/>
    </row>
    <row r="123" spans="24:41" x14ac:dyDescent="0.8">
      <c r="X123" s="9"/>
      <c r="Y123" s="9"/>
      <c r="Z123" s="9"/>
      <c r="AA123" s="9"/>
      <c r="AB123" s="9"/>
      <c r="AC123" s="9"/>
      <c r="AD123" s="9"/>
      <c r="AE123" s="9"/>
      <c r="AF123" s="9"/>
      <c r="AG123" s="9"/>
      <c r="AH123" s="9"/>
      <c r="AI123" s="9"/>
      <c r="AK123" s="9"/>
      <c r="AL123" s="9"/>
      <c r="AM123" s="9"/>
      <c r="AN123" s="9"/>
      <c r="AO123" s="9"/>
    </row>
    <row r="124" spans="24:41" x14ac:dyDescent="0.8">
      <c r="X124" s="9"/>
      <c r="Y124" s="9"/>
      <c r="Z124" s="9"/>
      <c r="AA124" s="9"/>
      <c r="AB124" s="9"/>
      <c r="AC124" s="9"/>
      <c r="AD124" s="9"/>
      <c r="AE124" s="9"/>
      <c r="AF124" s="9"/>
      <c r="AG124" s="9"/>
      <c r="AH124" s="9"/>
      <c r="AI124" s="9"/>
      <c r="AK124" s="9"/>
      <c r="AL124" s="9"/>
      <c r="AM124" s="9"/>
      <c r="AN124" s="9"/>
      <c r="AO124" s="9"/>
    </row>
    <row r="125" spans="24:41" x14ac:dyDescent="0.8">
      <c r="X125" s="9"/>
      <c r="Y125" s="9"/>
      <c r="Z125" s="9"/>
      <c r="AA125" s="9"/>
      <c r="AB125" s="9"/>
      <c r="AC125" s="9"/>
      <c r="AD125" s="9"/>
      <c r="AE125" s="9"/>
      <c r="AF125" s="9"/>
      <c r="AG125" s="9"/>
      <c r="AH125" s="9"/>
      <c r="AI125" s="9"/>
      <c r="AK125" s="9"/>
      <c r="AL125" s="9"/>
      <c r="AM125" s="9"/>
      <c r="AN125" s="9"/>
      <c r="AO125" s="9"/>
    </row>
    <row r="126" spans="24:41" x14ac:dyDescent="0.8">
      <c r="X126" s="9"/>
      <c r="Y126" s="9"/>
      <c r="Z126" s="9"/>
      <c r="AA126" s="9"/>
      <c r="AB126" s="9"/>
      <c r="AC126" s="9"/>
      <c r="AD126" s="9"/>
      <c r="AE126" s="9"/>
      <c r="AF126" s="9"/>
      <c r="AG126" s="9"/>
      <c r="AH126" s="9"/>
      <c r="AI126" s="9"/>
      <c r="AK126" s="9"/>
      <c r="AL126" s="9"/>
      <c r="AM126" s="9"/>
      <c r="AN126" s="9"/>
      <c r="AO126" s="9"/>
    </row>
    <row r="127" spans="24:41" x14ac:dyDescent="0.8">
      <c r="X127" s="9"/>
      <c r="Y127" s="9"/>
      <c r="Z127" s="9"/>
      <c r="AA127" s="9"/>
      <c r="AB127" s="9"/>
      <c r="AC127" s="9"/>
      <c r="AD127" s="9"/>
      <c r="AE127" s="9"/>
      <c r="AF127" s="9"/>
      <c r="AG127" s="9"/>
      <c r="AH127" s="9"/>
      <c r="AI127" s="9"/>
      <c r="AK127" s="9"/>
      <c r="AL127" s="9"/>
      <c r="AM127" s="9"/>
      <c r="AN127" s="9"/>
      <c r="AO127" s="9"/>
    </row>
    <row r="128" spans="24:41" x14ac:dyDescent="0.8">
      <c r="X128" s="9"/>
      <c r="Y128" s="9"/>
      <c r="Z128" s="9"/>
      <c r="AA128" s="9"/>
      <c r="AB128" s="9"/>
      <c r="AC128" s="9"/>
      <c r="AD128" s="9"/>
      <c r="AE128" s="9"/>
      <c r="AF128" s="9"/>
      <c r="AG128" s="9"/>
      <c r="AH128" s="9"/>
      <c r="AI128" s="9"/>
      <c r="AK128" s="9"/>
      <c r="AL128" s="9"/>
      <c r="AM128" s="9"/>
      <c r="AN128" s="9"/>
      <c r="AO128" s="9"/>
    </row>
    <row r="129" spans="24:41" x14ac:dyDescent="0.8">
      <c r="X129" s="9"/>
      <c r="Y129" s="9"/>
      <c r="Z129" s="9"/>
      <c r="AA129" s="9"/>
      <c r="AB129" s="9"/>
      <c r="AC129" s="9"/>
      <c r="AD129" s="9"/>
      <c r="AE129" s="9"/>
      <c r="AF129" s="9"/>
      <c r="AG129" s="9"/>
      <c r="AH129" s="9"/>
      <c r="AI129" s="9"/>
      <c r="AK129" s="9"/>
      <c r="AL129" s="9"/>
      <c r="AM129" s="9"/>
      <c r="AN129" s="9"/>
      <c r="AO129" s="9"/>
    </row>
    <row r="130" spans="24:41" x14ac:dyDescent="0.8">
      <c r="X130" s="9"/>
      <c r="Y130" s="9"/>
      <c r="Z130" s="9"/>
      <c r="AA130" s="9"/>
      <c r="AB130" s="9"/>
      <c r="AC130" s="9"/>
      <c r="AD130" s="9"/>
      <c r="AE130" s="9"/>
      <c r="AF130" s="9"/>
      <c r="AG130" s="9"/>
      <c r="AH130" s="9"/>
      <c r="AI130" s="9"/>
      <c r="AK130" s="9"/>
      <c r="AL130" s="9"/>
      <c r="AM130" s="9"/>
      <c r="AN130" s="9"/>
      <c r="AO130" s="9"/>
    </row>
    <row r="131" spans="24:41" x14ac:dyDescent="0.8">
      <c r="X131" s="9"/>
      <c r="Y131" s="9"/>
      <c r="Z131" s="9"/>
      <c r="AA131" s="9"/>
      <c r="AB131" s="9"/>
      <c r="AC131" s="9"/>
      <c r="AD131" s="9"/>
      <c r="AE131" s="9"/>
      <c r="AF131" s="9"/>
      <c r="AG131" s="9"/>
      <c r="AH131" s="9"/>
      <c r="AI131" s="9"/>
      <c r="AK131" s="9"/>
      <c r="AL131" s="9"/>
      <c r="AM131" s="9"/>
      <c r="AN131" s="9"/>
      <c r="AO131" s="9"/>
    </row>
    <row r="132" spans="24:41" x14ac:dyDescent="0.8">
      <c r="X132" s="9"/>
      <c r="Y132" s="9"/>
      <c r="Z132" s="9"/>
      <c r="AA132" s="9"/>
      <c r="AB132" s="9"/>
      <c r="AC132" s="9"/>
      <c r="AD132" s="9"/>
      <c r="AE132" s="9"/>
      <c r="AF132" s="9"/>
      <c r="AG132" s="9"/>
      <c r="AH132" s="9"/>
      <c r="AI132" s="9"/>
      <c r="AK132" s="9"/>
      <c r="AL132" s="9"/>
      <c r="AM132" s="9"/>
      <c r="AN132" s="9"/>
      <c r="AO132" s="9"/>
    </row>
    <row r="133" spans="24:41" x14ac:dyDescent="0.8">
      <c r="X133" s="9"/>
      <c r="Y133" s="9"/>
      <c r="Z133" s="9"/>
      <c r="AA133" s="9"/>
      <c r="AB133" s="9"/>
      <c r="AC133" s="9"/>
      <c r="AD133" s="9"/>
      <c r="AE133" s="9"/>
      <c r="AF133" s="9"/>
      <c r="AG133" s="9"/>
      <c r="AH133" s="9"/>
      <c r="AI133" s="9"/>
      <c r="AK133" s="9"/>
      <c r="AL133" s="9"/>
      <c r="AM133" s="9"/>
      <c r="AN133" s="9"/>
      <c r="AO133" s="9"/>
    </row>
    <row r="134" spans="24:41" x14ac:dyDescent="0.8">
      <c r="X134" s="9"/>
      <c r="Y134" s="9"/>
      <c r="Z134" s="9"/>
      <c r="AA134" s="9"/>
      <c r="AB134" s="9"/>
      <c r="AC134" s="9"/>
      <c r="AD134" s="9"/>
      <c r="AE134" s="9"/>
      <c r="AF134" s="9"/>
      <c r="AG134" s="9"/>
      <c r="AH134" s="9"/>
      <c r="AI134" s="9"/>
      <c r="AK134" s="9"/>
      <c r="AL134" s="9"/>
      <c r="AM134" s="9"/>
      <c r="AN134" s="9"/>
      <c r="AO134" s="9"/>
    </row>
    <row r="135" spans="24:41" x14ac:dyDescent="0.8">
      <c r="X135" s="9"/>
      <c r="Y135" s="9"/>
      <c r="Z135" s="9"/>
      <c r="AA135" s="9"/>
      <c r="AB135" s="9"/>
      <c r="AC135" s="9"/>
      <c r="AD135" s="9"/>
      <c r="AE135" s="9"/>
      <c r="AF135" s="9"/>
      <c r="AG135" s="9"/>
      <c r="AH135" s="9"/>
      <c r="AI135" s="9"/>
      <c r="AK135" s="9"/>
      <c r="AL135" s="9"/>
      <c r="AM135" s="9"/>
      <c r="AN135" s="9"/>
      <c r="AO135" s="9"/>
    </row>
    <row r="136" spans="24:41" x14ac:dyDescent="0.8">
      <c r="X136" s="9"/>
      <c r="Y136" s="9"/>
      <c r="Z136" s="9"/>
      <c r="AA136" s="9"/>
      <c r="AB136" s="9"/>
      <c r="AC136" s="9"/>
      <c r="AD136" s="9"/>
      <c r="AE136" s="9"/>
      <c r="AF136" s="9"/>
      <c r="AG136" s="9"/>
      <c r="AH136" s="9"/>
      <c r="AI136" s="9"/>
      <c r="AK136" s="9"/>
      <c r="AL136" s="9"/>
      <c r="AM136" s="9"/>
      <c r="AN136" s="9"/>
      <c r="AO136" s="9"/>
    </row>
    <row r="137" spans="24:41" x14ac:dyDescent="0.8">
      <c r="X137" s="9"/>
      <c r="Y137" s="9"/>
      <c r="Z137" s="9"/>
      <c r="AA137" s="9"/>
      <c r="AB137" s="9"/>
      <c r="AC137" s="9"/>
      <c r="AD137" s="9"/>
      <c r="AE137" s="9"/>
      <c r="AF137" s="9"/>
      <c r="AG137" s="9"/>
      <c r="AH137" s="9"/>
      <c r="AI137" s="9"/>
      <c r="AK137" s="9"/>
      <c r="AL137" s="9"/>
      <c r="AM137" s="9"/>
      <c r="AN137" s="9"/>
      <c r="AO137" s="9"/>
    </row>
    <row r="138" spans="24:41" x14ac:dyDescent="0.8">
      <c r="X138" s="9"/>
      <c r="Y138" s="9"/>
      <c r="Z138" s="9"/>
      <c r="AA138" s="9"/>
      <c r="AB138" s="9"/>
      <c r="AC138" s="9"/>
      <c r="AD138" s="9"/>
      <c r="AE138" s="9"/>
      <c r="AF138" s="9"/>
      <c r="AG138" s="9"/>
      <c r="AH138" s="9"/>
      <c r="AI138" s="9"/>
      <c r="AK138" s="9"/>
      <c r="AL138" s="9"/>
      <c r="AM138" s="9"/>
      <c r="AN138" s="9"/>
      <c r="AO138" s="9"/>
    </row>
    <row r="139" spans="24:41" x14ac:dyDescent="0.8">
      <c r="X139" s="9"/>
      <c r="Y139" s="9"/>
      <c r="Z139" s="9"/>
      <c r="AA139" s="9"/>
      <c r="AB139" s="9"/>
      <c r="AC139" s="9"/>
      <c r="AD139" s="9"/>
      <c r="AE139" s="9"/>
      <c r="AF139" s="9"/>
      <c r="AG139" s="9"/>
      <c r="AH139" s="9"/>
      <c r="AI139" s="9"/>
      <c r="AK139" s="9"/>
      <c r="AL139" s="9"/>
      <c r="AM139" s="9"/>
      <c r="AN139" s="9"/>
      <c r="AO139" s="9"/>
    </row>
    <row r="140" spans="24:41" x14ac:dyDescent="0.8">
      <c r="X140" s="9"/>
      <c r="Y140" s="9"/>
      <c r="Z140" s="9"/>
      <c r="AA140" s="9"/>
      <c r="AB140" s="9"/>
      <c r="AC140" s="9"/>
      <c r="AD140" s="9"/>
      <c r="AE140" s="9"/>
      <c r="AF140" s="9"/>
      <c r="AG140" s="9"/>
      <c r="AH140" s="9"/>
      <c r="AI140" s="9"/>
      <c r="AK140" s="9"/>
      <c r="AL140" s="9"/>
      <c r="AM140" s="9"/>
      <c r="AN140" s="9"/>
      <c r="AO140" s="9"/>
    </row>
    <row r="141" spans="24:41" x14ac:dyDescent="0.8">
      <c r="X141" s="9"/>
      <c r="Y141" s="9"/>
      <c r="Z141" s="9"/>
      <c r="AA141" s="9"/>
      <c r="AB141" s="9"/>
      <c r="AC141" s="9"/>
      <c r="AD141" s="9"/>
      <c r="AE141" s="9"/>
      <c r="AF141" s="9"/>
      <c r="AG141" s="9"/>
      <c r="AH141" s="9"/>
      <c r="AI141" s="9"/>
      <c r="AK141" s="9"/>
      <c r="AL141" s="9"/>
      <c r="AM141" s="9"/>
      <c r="AN141" s="9"/>
      <c r="AO141" s="9"/>
    </row>
    <row r="142" spans="24:41" x14ac:dyDescent="0.8">
      <c r="X142" s="9"/>
      <c r="Y142" s="9"/>
      <c r="Z142" s="9"/>
      <c r="AA142" s="9"/>
      <c r="AB142" s="9"/>
      <c r="AC142" s="9"/>
      <c r="AD142" s="9"/>
      <c r="AE142" s="9"/>
      <c r="AF142" s="9"/>
      <c r="AG142" s="9"/>
      <c r="AH142" s="9"/>
      <c r="AI142" s="9"/>
      <c r="AK142" s="9"/>
      <c r="AL142" s="9"/>
      <c r="AM142" s="9"/>
      <c r="AN142" s="9"/>
      <c r="AO142" s="9"/>
    </row>
    <row r="143" spans="24:41" x14ac:dyDescent="0.8">
      <c r="X143" s="9"/>
      <c r="Y143" s="9"/>
      <c r="Z143" s="9"/>
      <c r="AA143" s="9"/>
      <c r="AB143" s="9"/>
      <c r="AC143" s="9"/>
      <c r="AD143" s="9"/>
      <c r="AE143" s="9"/>
      <c r="AF143" s="9"/>
      <c r="AG143" s="9"/>
      <c r="AH143" s="9"/>
      <c r="AI143" s="9"/>
      <c r="AK143" s="9"/>
      <c r="AL143" s="9"/>
      <c r="AM143" s="9"/>
      <c r="AN143" s="9"/>
      <c r="AO143" s="9"/>
    </row>
    <row r="144" spans="24:41" x14ac:dyDescent="0.8">
      <c r="X144" s="9"/>
      <c r="Y144" s="9"/>
      <c r="Z144" s="9"/>
      <c r="AA144" s="9"/>
      <c r="AB144" s="9"/>
      <c r="AC144" s="9"/>
      <c r="AD144" s="9"/>
      <c r="AE144" s="9"/>
      <c r="AF144" s="9"/>
      <c r="AG144" s="9"/>
      <c r="AH144" s="9"/>
      <c r="AI144" s="9"/>
      <c r="AK144" s="9"/>
      <c r="AL144" s="9"/>
      <c r="AM144" s="9"/>
      <c r="AN144" s="9"/>
      <c r="AO144" s="9"/>
    </row>
    <row r="145" spans="24:41" x14ac:dyDescent="0.8">
      <c r="X145" s="9"/>
      <c r="Y145" s="9"/>
      <c r="Z145" s="9"/>
      <c r="AA145" s="9"/>
      <c r="AB145" s="9"/>
      <c r="AC145" s="9"/>
      <c r="AD145" s="9"/>
      <c r="AE145" s="9"/>
      <c r="AF145" s="9"/>
      <c r="AG145" s="9"/>
      <c r="AH145" s="9"/>
      <c r="AI145" s="9"/>
      <c r="AK145" s="9"/>
      <c r="AL145" s="9"/>
      <c r="AM145" s="9"/>
      <c r="AN145" s="9"/>
      <c r="AO145" s="9"/>
    </row>
    <row r="146" spans="24:41" x14ac:dyDescent="0.8">
      <c r="X146" s="9"/>
      <c r="Y146" s="9"/>
      <c r="Z146" s="9"/>
      <c r="AA146" s="9"/>
      <c r="AB146" s="9"/>
      <c r="AC146" s="9"/>
      <c r="AD146" s="9"/>
      <c r="AE146" s="9"/>
      <c r="AF146" s="9"/>
      <c r="AG146" s="9"/>
      <c r="AH146" s="9"/>
      <c r="AI146" s="9"/>
      <c r="AK146" s="9"/>
      <c r="AL146" s="9"/>
      <c r="AM146" s="9"/>
      <c r="AN146" s="9"/>
      <c r="AO146" s="9"/>
    </row>
    <row r="147" spans="24:41" x14ac:dyDescent="0.8">
      <c r="X147" s="9"/>
      <c r="Y147" s="9"/>
      <c r="Z147" s="9"/>
      <c r="AA147" s="9"/>
      <c r="AB147" s="9"/>
      <c r="AC147" s="9"/>
      <c r="AD147" s="9"/>
      <c r="AE147" s="9"/>
      <c r="AF147" s="9"/>
      <c r="AG147" s="9"/>
      <c r="AH147" s="9"/>
      <c r="AI147" s="9"/>
      <c r="AK147" s="9"/>
      <c r="AL147" s="9"/>
      <c r="AM147" s="9"/>
      <c r="AN147" s="9"/>
      <c r="AO147" s="9"/>
    </row>
    <row r="148" spans="24:41" x14ac:dyDescent="0.8">
      <c r="X148" s="9"/>
      <c r="Y148" s="9"/>
      <c r="Z148" s="9"/>
      <c r="AA148" s="9"/>
      <c r="AB148" s="9"/>
      <c r="AC148" s="9"/>
      <c r="AD148" s="9"/>
      <c r="AE148" s="9"/>
      <c r="AF148" s="9"/>
      <c r="AG148" s="9"/>
      <c r="AH148" s="9"/>
      <c r="AI148" s="9"/>
      <c r="AK148" s="9"/>
      <c r="AL148" s="9"/>
      <c r="AM148" s="9"/>
      <c r="AN148" s="9"/>
      <c r="AO148" s="9"/>
    </row>
    <row r="149" spans="24:41" x14ac:dyDescent="0.8">
      <c r="X149" s="9"/>
      <c r="Y149" s="9"/>
      <c r="Z149" s="9"/>
      <c r="AA149" s="9"/>
      <c r="AB149" s="9"/>
      <c r="AC149" s="9"/>
      <c r="AD149" s="9"/>
      <c r="AE149" s="9"/>
      <c r="AF149" s="9"/>
      <c r="AG149" s="9"/>
      <c r="AH149" s="9"/>
      <c r="AI149" s="9"/>
      <c r="AK149" s="9"/>
      <c r="AL149" s="9"/>
      <c r="AM149" s="9"/>
      <c r="AN149" s="9"/>
      <c r="AO149" s="9"/>
    </row>
    <row r="150" spans="24:41" x14ac:dyDescent="0.8">
      <c r="X150" s="9"/>
      <c r="Y150" s="9"/>
      <c r="Z150" s="9"/>
      <c r="AA150" s="9"/>
      <c r="AB150" s="9"/>
      <c r="AC150" s="9"/>
      <c r="AD150" s="9"/>
      <c r="AE150" s="9"/>
      <c r="AF150" s="9"/>
      <c r="AG150" s="9"/>
      <c r="AH150" s="9"/>
      <c r="AI150" s="9"/>
      <c r="AK150" s="9"/>
      <c r="AL150" s="9"/>
      <c r="AM150" s="9"/>
      <c r="AN150" s="9"/>
      <c r="AO150" s="9"/>
    </row>
    <row r="151" spans="24:41" x14ac:dyDescent="0.8">
      <c r="X151" s="9"/>
      <c r="Y151" s="9"/>
      <c r="Z151" s="9"/>
      <c r="AA151" s="9"/>
      <c r="AB151" s="9"/>
      <c r="AC151" s="9"/>
      <c r="AD151" s="9"/>
      <c r="AE151" s="9"/>
      <c r="AF151" s="9"/>
      <c r="AG151" s="9"/>
      <c r="AH151" s="9"/>
      <c r="AI151" s="9"/>
      <c r="AK151" s="9"/>
      <c r="AL151" s="9"/>
      <c r="AM151" s="9"/>
      <c r="AN151" s="9"/>
      <c r="AO151" s="9"/>
    </row>
    <row r="152" spans="24:41" x14ac:dyDescent="0.8">
      <c r="X152" s="9"/>
      <c r="Y152" s="9"/>
      <c r="Z152" s="9"/>
      <c r="AA152" s="9"/>
      <c r="AB152" s="9"/>
      <c r="AC152" s="9"/>
      <c r="AD152" s="9"/>
      <c r="AE152" s="9"/>
      <c r="AF152" s="9"/>
      <c r="AG152" s="9"/>
      <c r="AH152" s="9"/>
      <c r="AI152" s="9"/>
      <c r="AK152" s="9"/>
      <c r="AL152" s="9"/>
      <c r="AM152" s="9"/>
      <c r="AN152" s="9"/>
      <c r="AO152" s="9"/>
    </row>
    <row r="153" spans="24:41" x14ac:dyDescent="0.8">
      <c r="X153" s="9"/>
      <c r="Y153" s="9"/>
      <c r="Z153" s="9"/>
      <c r="AA153" s="9"/>
      <c r="AB153" s="9"/>
      <c r="AC153" s="9"/>
      <c r="AD153" s="9"/>
      <c r="AE153" s="9"/>
      <c r="AF153" s="9"/>
      <c r="AG153" s="9"/>
      <c r="AH153" s="9"/>
      <c r="AI153" s="9"/>
      <c r="AK153" s="9"/>
      <c r="AL153" s="9"/>
      <c r="AM153" s="9"/>
      <c r="AN153" s="9"/>
      <c r="AO153" s="9"/>
    </row>
    <row r="154" spans="24:41" x14ac:dyDescent="0.8">
      <c r="X154" s="9"/>
      <c r="Y154" s="9"/>
      <c r="Z154" s="9"/>
      <c r="AA154" s="9"/>
      <c r="AB154" s="9"/>
      <c r="AC154" s="9"/>
      <c r="AD154" s="9"/>
      <c r="AE154" s="9"/>
      <c r="AF154" s="9"/>
      <c r="AG154" s="9"/>
      <c r="AH154" s="9"/>
      <c r="AI154" s="9"/>
      <c r="AK154" s="9"/>
      <c r="AL154" s="9"/>
      <c r="AM154" s="9"/>
      <c r="AN154" s="9"/>
      <c r="AO154" s="9"/>
    </row>
    <row r="155" spans="24:41" x14ac:dyDescent="0.8">
      <c r="X155" s="9"/>
      <c r="Y155" s="9"/>
      <c r="Z155" s="9"/>
      <c r="AA155" s="9"/>
      <c r="AB155" s="9"/>
      <c r="AC155" s="9"/>
      <c r="AD155" s="9"/>
      <c r="AE155" s="9"/>
      <c r="AF155" s="9"/>
      <c r="AG155" s="9"/>
      <c r="AH155" s="9"/>
      <c r="AI155" s="9"/>
      <c r="AK155" s="9"/>
      <c r="AL155" s="9"/>
      <c r="AM155" s="9"/>
      <c r="AN155" s="9"/>
      <c r="AO155" s="9"/>
    </row>
    <row r="156" spans="24:41" x14ac:dyDescent="0.8">
      <c r="X156" s="9"/>
      <c r="Y156" s="9"/>
      <c r="Z156" s="9"/>
      <c r="AA156" s="9"/>
      <c r="AB156" s="9"/>
      <c r="AC156" s="9"/>
      <c r="AD156" s="9"/>
      <c r="AE156" s="9"/>
      <c r="AF156" s="9"/>
      <c r="AG156" s="9"/>
      <c r="AH156" s="9"/>
      <c r="AI156" s="9"/>
      <c r="AK156" s="9"/>
      <c r="AL156" s="9"/>
      <c r="AM156" s="9"/>
      <c r="AN156" s="9"/>
      <c r="AO156" s="9"/>
    </row>
    <row r="157" spans="24:41" x14ac:dyDescent="0.8">
      <c r="X157" s="9"/>
      <c r="Y157" s="9"/>
      <c r="Z157" s="9"/>
      <c r="AA157" s="9"/>
      <c r="AB157" s="9"/>
      <c r="AC157" s="9"/>
      <c r="AD157" s="9"/>
      <c r="AE157" s="9"/>
      <c r="AF157" s="9"/>
      <c r="AG157" s="9"/>
      <c r="AH157" s="9"/>
      <c r="AI157" s="9"/>
      <c r="AK157" s="9"/>
      <c r="AL157" s="9"/>
      <c r="AM157" s="9"/>
      <c r="AN157" s="9"/>
      <c r="AO157" s="9"/>
    </row>
    <row r="158" spans="24:41" x14ac:dyDescent="0.8">
      <c r="X158" s="9"/>
      <c r="Y158" s="9"/>
      <c r="Z158" s="9"/>
      <c r="AA158" s="9"/>
      <c r="AB158" s="9"/>
      <c r="AC158" s="9"/>
      <c r="AD158" s="9"/>
      <c r="AE158" s="9"/>
      <c r="AF158" s="9"/>
      <c r="AG158" s="9"/>
      <c r="AH158" s="9"/>
      <c r="AI158" s="9"/>
      <c r="AK158" s="9"/>
      <c r="AL158" s="9"/>
      <c r="AM158" s="9"/>
      <c r="AN158" s="9"/>
      <c r="AO158" s="9"/>
    </row>
    <row r="159" spans="24:41" x14ac:dyDescent="0.8">
      <c r="X159" s="9"/>
      <c r="Y159" s="9"/>
      <c r="Z159" s="9"/>
      <c r="AA159" s="9"/>
      <c r="AB159" s="9"/>
      <c r="AC159" s="9"/>
      <c r="AD159" s="9"/>
      <c r="AE159" s="9"/>
      <c r="AF159" s="9"/>
      <c r="AG159" s="9"/>
      <c r="AH159" s="9"/>
      <c r="AI159" s="9"/>
      <c r="AK159" s="9"/>
      <c r="AL159" s="9"/>
      <c r="AM159" s="9"/>
      <c r="AN159" s="9"/>
      <c r="AO159" s="9"/>
    </row>
    <row r="160" spans="24:41" x14ac:dyDescent="0.8">
      <c r="X160" s="9"/>
      <c r="Y160" s="9"/>
      <c r="Z160" s="9"/>
      <c r="AA160" s="9"/>
      <c r="AB160" s="9"/>
      <c r="AC160" s="9"/>
      <c r="AD160" s="9"/>
      <c r="AE160" s="9"/>
      <c r="AF160" s="9"/>
      <c r="AG160" s="9"/>
      <c r="AH160" s="9"/>
      <c r="AI160" s="9"/>
      <c r="AK160" s="9"/>
      <c r="AL160" s="9"/>
      <c r="AM160" s="9"/>
      <c r="AN160" s="9"/>
      <c r="AO160" s="9"/>
    </row>
    <row r="161" spans="24:41" x14ac:dyDescent="0.8">
      <c r="X161" s="9"/>
      <c r="Y161" s="9"/>
      <c r="Z161" s="9"/>
      <c r="AA161" s="9"/>
      <c r="AB161" s="9"/>
      <c r="AC161" s="9"/>
      <c r="AD161" s="9"/>
      <c r="AE161" s="9"/>
      <c r="AF161" s="9"/>
      <c r="AG161" s="9"/>
      <c r="AH161" s="9"/>
      <c r="AI161" s="9"/>
      <c r="AK161" s="9"/>
      <c r="AL161" s="9"/>
      <c r="AM161" s="9"/>
      <c r="AN161" s="9"/>
      <c r="AO161" s="9"/>
    </row>
    <row r="162" spans="24:41" x14ac:dyDescent="0.8">
      <c r="X162" s="9"/>
      <c r="Y162" s="9"/>
      <c r="Z162" s="9"/>
      <c r="AA162" s="9"/>
      <c r="AB162" s="9"/>
      <c r="AC162" s="9"/>
      <c r="AD162" s="9"/>
      <c r="AE162" s="9"/>
      <c r="AF162" s="9"/>
      <c r="AG162" s="9"/>
      <c r="AH162" s="9"/>
      <c r="AI162" s="9"/>
      <c r="AK162" s="9"/>
      <c r="AL162" s="9"/>
      <c r="AM162" s="9"/>
      <c r="AN162" s="9"/>
      <c r="AO162" s="9"/>
    </row>
    <row r="163" spans="24:41" x14ac:dyDescent="0.8">
      <c r="X163" s="9"/>
      <c r="Y163" s="9"/>
      <c r="Z163" s="9"/>
      <c r="AA163" s="9"/>
      <c r="AB163" s="9"/>
      <c r="AC163" s="9"/>
      <c r="AD163" s="9"/>
      <c r="AE163" s="9"/>
      <c r="AF163" s="9"/>
      <c r="AG163" s="9"/>
      <c r="AH163" s="9"/>
      <c r="AI163" s="9"/>
      <c r="AK163" s="9"/>
      <c r="AL163" s="9"/>
      <c r="AM163" s="9"/>
      <c r="AN163" s="9"/>
      <c r="AO163" s="9"/>
    </row>
    <row r="164" spans="24:41" x14ac:dyDescent="0.8">
      <c r="X164" s="9"/>
      <c r="Y164" s="9"/>
      <c r="Z164" s="9"/>
      <c r="AA164" s="9"/>
      <c r="AB164" s="9"/>
      <c r="AC164" s="9"/>
      <c r="AD164" s="9"/>
      <c r="AE164" s="9"/>
      <c r="AF164" s="9"/>
      <c r="AG164" s="9"/>
      <c r="AH164" s="9"/>
      <c r="AI164" s="9"/>
      <c r="AK164" s="9"/>
      <c r="AL164" s="9"/>
      <c r="AM164" s="9"/>
      <c r="AN164" s="9"/>
      <c r="AO164" s="9"/>
    </row>
    <row r="165" spans="24:41" x14ac:dyDescent="0.8">
      <c r="X165" s="9"/>
      <c r="Y165" s="9"/>
      <c r="Z165" s="9"/>
      <c r="AA165" s="9"/>
      <c r="AB165" s="9"/>
      <c r="AC165" s="9"/>
      <c r="AD165" s="9"/>
      <c r="AE165" s="9"/>
      <c r="AF165" s="9"/>
      <c r="AG165" s="9"/>
      <c r="AH165" s="9"/>
      <c r="AI165" s="9"/>
      <c r="AK165" s="9"/>
      <c r="AL165" s="9"/>
      <c r="AM165" s="9"/>
      <c r="AN165" s="9"/>
      <c r="AO165" s="9"/>
    </row>
    <row r="166" spans="24:41" x14ac:dyDescent="0.8">
      <c r="X166" s="9"/>
      <c r="Y166" s="9"/>
      <c r="Z166" s="9"/>
      <c r="AA166" s="9"/>
      <c r="AB166" s="9"/>
      <c r="AC166" s="9"/>
      <c r="AD166" s="9"/>
      <c r="AE166" s="9"/>
      <c r="AF166" s="9"/>
      <c r="AG166" s="9"/>
      <c r="AH166" s="9"/>
      <c r="AI166" s="9"/>
      <c r="AK166" s="9"/>
      <c r="AL166" s="9"/>
      <c r="AM166" s="9"/>
      <c r="AN166" s="9"/>
      <c r="AO166" s="9"/>
    </row>
    <row r="167" spans="24:41" x14ac:dyDescent="0.8">
      <c r="X167" s="9"/>
      <c r="Y167" s="9"/>
      <c r="Z167" s="9"/>
      <c r="AA167" s="9"/>
      <c r="AB167" s="9"/>
      <c r="AC167" s="9"/>
      <c r="AD167" s="9"/>
      <c r="AE167" s="9"/>
      <c r="AF167" s="9"/>
      <c r="AG167" s="9"/>
      <c r="AH167" s="9"/>
      <c r="AI167" s="9"/>
      <c r="AK167" s="9"/>
      <c r="AL167" s="9"/>
      <c r="AM167" s="9"/>
      <c r="AN167" s="9"/>
      <c r="AO167" s="9"/>
    </row>
    <row r="168" spans="24:41" x14ac:dyDescent="0.8">
      <c r="X168" s="9"/>
      <c r="Y168" s="9"/>
      <c r="Z168" s="9"/>
      <c r="AA168" s="9"/>
      <c r="AB168" s="9"/>
      <c r="AC168" s="9"/>
      <c r="AD168" s="9"/>
      <c r="AE168" s="9"/>
      <c r="AF168" s="9"/>
      <c r="AG168" s="9"/>
      <c r="AH168" s="9"/>
      <c r="AI168" s="9"/>
      <c r="AK168" s="9"/>
      <c r="AL168" s="9"/>
      <c r="AM168" s="9"/>
      <c r="AN168" s="9"/>
      <c r="AO168" s="9"/>
    </row>
    <row r="169" spans="24:41" x14ac:dyDescent="0.8">
      <c r="X169" s="9"/>
      <c r="Y169" s="9"/>
      <c r="Z169" s="9"/>
      <c r="AA169" s="9"/>
      <c r="AB169" s="9"/>
      <c r="AC169" s="9"/>
      <c r="AD169" s="9"/>
      <c r="AE169" s="9"/>
      <c r="AF169" s="9"/>
      <c r="AG169" s="9"/>
      <c r="AH169" s="9"/>
      <c r="AI169" s="9"/>
      <c r="AK169" s="9"/>
      <c r="AL169" s="9"/>
      <c r="AM169" s="9"/>
      <c r="AN169" s="9"/>
      <c r="AO169" s="9"/>
    </row>
    <row r="170" spans="24:41" x14ac:dyDescent="0.8">
      <c r="X170" s="9"/>
      <c r="Y170" s="9"/>
      <c r="Z170" s="9"/>
      <c r="AA170" s="9"/>
      <c r="AB170" s="9"/>
      <c r="AC170" s="9"/>
      <c r="AD170" s="9"/>
      <c r="AE170" s="9"/>
      <c r="AF170" s="9"/>
      <c r="AG170" s="9"/>
      <c r="AH170" s="9"/>
      <c r="AI170" s="9"/>
      <c r="AK170" s="9"/>
      <c r="AL170" s="9"/>
      <c r="AM170" s="9"/>
      <c r="AN170" s="9"/>
      <c r="AO170" s="9"/>
    </row>
    <row r="171" spans="24:41" x14ac:dyDescent="0.8">
      <c r="X171" s="9"/>
      <c r="Y171" s="9"/>
      <c r="Z171" s="9"/>
      <c r="AA171" s="9"/>
      <c r="AB171" s="9"/>
      <c r="AC171" s="9"/>
      <c r="AD171" s="9"/>
      <c r="AE171" s="9"/>
      <c r="AF171" s="9"/>
      <c r="AG171" s="9"/>
      <c r="AH171" s="9"/>
      <c r="AI171" s="9"/>
      <c r="AK171" s="9"/>
      <c r="AL171" s="9"/>
      <c r="AM171" s="9"/>
      <c r="AN171" s="9"/>
      <c r="AO171" s="9"/>
    </row>
    <row r="172" spans="24:41" x14ac:dyDescent="0.8">
      <c r="X172" s="9"/>
      <c r="Y172" s="9"/>
      <c r="Z172" s="9"/>
      <c r="AA172" s="9"/>
      <c r="AB172" s="9"/>
      <c r="AC172" s="9"/>
      <c r="AD172" s="9"/>
      <c r="AE172" s="9"/>
      <c r="AF172" s="9"/>
      <c r="AG172" s="9"/>
      <c r="AH172" s="9"/>
      <c r="AI172" s="9"/>
      <c r="AK172" s="9"/>
      <c r="AL172" s="9"/>
      <c r="AM172" s="9"/>
      <c r="AN172" s="9"/>
      <c r="AO172" s="9"/>
    </row>
    <row r="173" spans="24:41" x14ac:dyDescent="0.8">
      <c r="X173" s="9"/>
      <c r="Y173" s="9"/>
      <c r="Z173" s="9"/>
      <c r="AA173" s="9"/>
      <c r="AB173" s="9"/>
      <c r="AC173" s="9"/>
      <c r="AD173" s="9"/>
      <c r="AE173" s="9"/>
      <c r="AF173" s="9"/>
      <c r="AG173" s="9"/>
      <c r="AH173" s="9"/>
      <c r="AI173" s="9"/>
      <c r="AK173" s="9"/>
      <c r="AL173" s="9"/>
      <c r="AM173" s="9"/>
      <c r="AN173" s="9"/>
      <c r="AO173" s="9"/>
    </row>
    <row r="174" spans="24:41" x14ac:dyDescent="0.8">
      <c r="X174" s="9"/>
      <c r="Y174" s="9"/>
      <c r="Z174" s="9"/>
      <c r="AA174" s="9"/>
      <c r="AB174" s="9"/>
      <c r="AC174" s="9"/>
      <c r="AD174" s="9"/>
      <c r="AE174" s="9"/>
      <c r="AF174" s="9"/>
      <c r="AG174" s="9"/>
      <c r="AH174" s="9"/>
      <c r="AI174" s="9"/>
      <c r="AK174" s="9"/>
      <c r="AL174" s="9"/>
      <c r="AM174" s="9"/>
      <c r="AN174" s="9"/>
      <c r="AO174" s="9"/>
    </row>
    <row r="175" spans="24:41" x14ac:dyDescent="0.8">
      <c r="X175" s="9"/>
      <c r="Y175" s="9"/>
      <c r="Z175" s="9"/>
      <c r="AA175" s="9"/>
      <c r="AB175" s="9"/>
      <c r="AC175" s="9"/>
      <c r="AD175" s="9"/>
      <c r="AE175" s="9"/>
      <c r="AF175" s="9"/>
      <c r="AG175" s="9"/>
      <c r="AH175" s="9"/>
      <c r="AI175" s="9"/>
      <c r="AK175" s="9"/>
      <c r="AL175" s="9"/>
      <c r="AM175" s="9"/>
      <c r="AN175" s="9"/>
      <c r="AO175" s="9"/>
    </row>
    <row r="176" spans="24:41" x14ac:dyDescent="0.8">
      <c r="X176" s="9"/>
      <c r="Y176" s="9"/>
      <c r="Z176" s="9"/>
      <c r="AA176" s="9"/>
      <c r="AB176" s="9"/>
      <c r="AC176" s="9"/>
      <c r="AD176" s="9"/>
      <c r="AE176" s="9"/>
      <c r="AF176" s="9"/>
      <c r="AG176" s="9"/>
      <c r="AH176" s="9"/>
      <c r="AI176" s="9"/>
      <c r="AK176" s="9"/>
      <c r="AL176" s="9"/>
      <c r="AM176" s="9"/>
      <c r="AN176" s="9"/>
      <c r="AO176" s="9"/>
    </row>
    <row r="177" spans="24:41" x14ac:dyDescent="0.8">
      <c r="X177" s="9"/>
      <c r="Y177" s="9"/>
      <c r="Z177" s="9"/>
      <c r="AA177" s="9"/>
      <c r="AB177" s="9"/>
      <c r="AC177" s="9"/>
      <c r="AD177" s="9"/>
      <c r="AE177" s="9"/>
      <c r="AF177" s="9"/>
      <c r="AG177" s="9"/>
      <c r="AH177" s="9"/>
      <c r="AI177" s="9"/>
      <c r="AK177" s="9"/>
      <c r="AL177" s="9"/>
      <c r="AM177" s="9"/>
      <c r="AN177" s="9"/>
      <c r="AO177" s="9"/>
    </row>
    <row r="178" spans="24:41" x14ac:dyDescent="0.8">
      <c r="AF178" s="9"/>
    </row>
    <row r="179" spans="24:41" x14ac:dyDescent="0.8">
      <c r="AF179" s="9"/>
    </row>
    <row r="180" spans="24:41" x14ac:dyDescent="0.8">
      <c r="AF180" s="9"/>
    </row>
    <row r="181" spans="24:41" x14ac:dyDescent="0.8">
      <c r="AF181" s="9"/>
    </row>
    <row r="182" spans="24:41" x14ac:dyDescent="0.8">
      <c r="AF182" s="9"/>
    </row>
    <row r="183" spans="24:41" x14ac:dyDescent="0.8">
      <c r="AF183" s="9"/>
    </row>
    <row r="184" spans="24:41" x14ac:dyDescent="0.8">
      <c r="AF184" s="9"/>
    </row>
    <row r="185" spans="24:41" x14ac:dyDescent="0.8">
      <c r="AF185" s="9"/>
    </row>
  </sheetData>
  <mergeCells count="22">
    <mergeCell ref="A1:AJ1"/>
    <mergeCell ref="A2:AJ2"/>
    <mergeCell ref="A3:AJ3"/>
    <mergeCell ref="A4:A5"/>
    <mergeCell ref="B4:B5"/>
    <mergeCell ref="C4:C5"/>
    <mergeCell ref="D4:D5"/>
    <mergeCell ref="E4:E5"/>
    <mergeCell ref="F4:F5"/>
    <mergeCell ref="G4:G5"/>
    <mergeCell ref="A86:G86"/>
    <mergeCell ref="A87:G87"/>
    <mergeCell ref="A88:G88"/>
    <mergeCell ref="H4:H5"/>
    <mergeCell ref="A17:G17"/>
    <mergeCell ref="A32:G32"/>
    <mergeCell ref="A41:G41"/>
    <mergeCell ref="A45:G45"/>
    <mergeCell ref="A46:G46"/>
    <mergeCell ref="B48:AG48"/>
    <mergeCell ref="A78:G78"/>
    <mergeCell ref="B79:AG79"/>
  </mergeCells>
  <conditionalFormatting sqref="W15:X15">
    <cfRule type="colorScale" priority="1">
      <colorScale>
        <cfvo type="min"/>
        <cfvo type="percentile" val="50"/>
        <cfvo type="max"/>
        <color rgb="FFF8696B"/>
        <color rgb="FFFCFCFF"/>
        <color rgb="FF63BE7B"/>
      </colorScale>
    </cfRule>
  </conditionalFormatting>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41EAB-1D24-4AB6-849C-72A32F60576D}">
  <sheetPr>
    <tabColor theme="5" tint="-0.249977111117893"/>
  </sheetPr>
  <dimension ref="A1:BH185"/>
  <sheetViews>
    <sheetView zoomScale="48" zoomScaleNormal="48" workbookViewId="0">
      <selection activeCell="AQ4" sqref="AQ4"/>
    </sheetView>
  </sheetViews>
  <sheetFormatPr defaultColWidth="18.125" defaultRowHeight="27" x14ac:dyDescent="0.8"/>
  <cols>
    <col min="1" max="1" width="15" style="9" customWidth="1"/>
    <col min="2" max="2" width="62.75" style="9" customWidth="1"/>
    <col min="3" max="3" width="59.75" style="9" hidden="1" customWidth="1"/>
    <col min="4" max="4" width="65" style="9" hidden="1" customWidth="1"/>
    <col min="5" max="5" width="49.125" style="9" hidden="1" customWidth="1"/>
    <col min="6" max="6" width="48.5" style="9" hidden="1" customWidth="1"/>
    <col min="7" max="7" width="20.625" style="9" hidden="1" customWidth="1"/>
    <col min="8" max="8" width="19.875" style="9" customWidth="1"/>
    <col min="9" max="9" width="14" style="9" hidden="1" customWidth="1"/>
    <col min="10" max="10" width="18.75" style="9" hidden="1" customWidth="1"/>
    <col min="11" max="11" width="15.625" style="9" hidden="1" customWidth="1"/>
    <col min="12" max="12" width="16.625" style="9" hidden="1" customWidth="1"/>
    <col min="13" max="13" width="19.125" style="9" hidden="1" customWidth="1"/>
    <col min="14" max="14" width="16.5" style="96" hidden="1" customWidth="1"/>
    <col min="15" max="15" width="16.375" style="9" hidden="1" customWidth="1"/>
    <col min="16" max="16" width="5.25" style="9" hidden="1" customWidth="1"/>
    <col min="17" max="17" width="19.875" style="9" customWidth="1"/>
    <col min="18" max="18" width="15.375" style="38" customWidth="1"/>
    <col min="19" max="19" width="18.125" style="38" customWidth="1"/>
    <col min="20" max="20" width="13.875" style="38" customWidth="1"/>
    <col min="21" max="22" width="14.25" style="38" customWidth="1"/>
    <col min="23" max="23" width="16.75" style="38" customWidth="1"/>
    <col min="24" max="24" width="16.875" style="38" hidden="1" customWidth="1"/>
    <col min="25" max="25" width="17.625" style="38" customWidth="1"/>
    <col min="26" max="26" width="15.375" style="38" customWidth="1"/>
    <col min="27" max="27" width="15" style="38" customWidth="1"/>
    <col min="28" max="29" width="18.625" style="38" customWidth="1"/>
    <col min="30" max="30" width="13.625" style="38" bestFit="1" customWidth="1"/>
    <col min="31" max="31" width="22.75" style="38" customWidth="1"/>
    <col min="32" max="32" width="23" style="98" customWidth="1"/>
    <col min="33" max="33" width="20.875" style="38" hidden="1" customWidth="1"/>
    <col min="34" max="34" width="28.625" style="38" hidden="1" customWidth="1"/>
    <col min="35" max="35" width="24.875" style="38" hidden="1" customWidth="1"/>
    <col min="36" max="36" width="21.375" style="9" hidden="1" customWidth="1"/>
    <col min="37" max="37" width="21.375" style="8" hidden="1" customWidth="1"/>
    <col min="38" max="38" width="20.75" style="8" hidden="1" customWidth="1"/>
    <col min="39" max="39" width="22.125" style="8" hidden="1" customWidth="1"/>
    <col min="40" max="40" width="21.125" style="8" hidden="1" customWidth="1"/>
    <col min="41" max="41" width="23.875" style="8" hidden="1" customWidth="1"/>
    <col min="42" max="42" width="3.625" style="9" hidden="1" customWidth="1"/>
    <col min="43" max="43" width="29.25" style="262" customWidth="1"/>
    <col min="44" max="44" width="61.375" style="262" customWidth="1"/>
    <col min="45" max="45" width="18.125" style="262"/>
    <col min="46" max="46" width="28.875" style="9" customWidth="1"/>
    <col min="47" max="47" width="1.625" style="9" customWidth="1"/>
    <col min="48" max="16384" width="18.125" style="9"/>
  </cols>
  <sheetData>
    <row r="1" spans="1:57" ht="32.25" customHeight="1" x14ac:dyDescent="0.8">
      <c r="A1" s="338" t="s">
        <v>232</v>
      </c>
      <c r="B1" s="338"/>
      <c r="C1" s="338"/>
      <c r="D1" s="338"/>
      <c r="E1" s="338"/>
      <c r="F1" s="338"/>
      <c r="G1" s="338"/>
      <c r="H1" s="338"/>
      <c r="I1" s="338"/>
      <c r="J1" s="338"/>
      <c r="K1" s="338"/>
      <c r="L1" s="338"/>
      <c r="M1" s="338"/>
      <c r="N1" s="338"/>
      <c r="O1" s="338"/>
      <c r="P1" s="338"/>
      <c r="Q1" s="338"/>
      <c r="R1" s="338"/>
      <c r="S1" s="338"/>
      <c r="T1" s="338"/>
      <c r="U1" s="338"/>
      <c r="V1" s="338"/>
      <c r="W1" s="338"/>
      <c r="X1" s="338"/>
      <c r="Y1" s="338"/>
      <c r="Z1" s="338"/>
      <c r="AA1" s="338"/>
      <c r="AB1" s="338"/>
      <c r="AC1" s="338"/>
      <c r="AD1" s="338"/>
      <c r="AE1" s="338"/>
      <c r="AF1" s="338"/>
      <c r="AG1" s="338"/>
      <c r="AH1" s="338"/>
      <c r="AI1" s="338"/>
      <c r="AJ1" s="338"/>
      <c r="AQ1" s="301"/>
    </row>
    <row r="2" spans="1:57" ht="45" customHeight="1" x14ac:dyDescent="0.85">
      <c r="A2" s="323" t="s">
        <v>233</v>
      </c>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10"/>
      <c r="AL2" s="10"/>
      <c r="AM2" s="10"/>
      <c r="AN2" s="10"/>
      <c r="AO2" s="10"/>
      <c r="AP2" s="11"/>
      <c r="AQ2" s="300"/>
    </row>
    <row r="3" spans="1:57" ht="45" customHeight="1" x14ac:dyDescent="0.85">
      <c r="A3" s="324" t="s">
        <v>234</v>
      </c>
      <c r="B3" s="324"/>
      <c r="C3" s="324"/>
      <c r="D3" s="324"/>
      <c r="E3" s="324"/>
      <c r="F3" s="324"/>
      <c r="G3" s="324"/>
      <c r="H3" s="324"/>
      <c r="I3" s="339"/>
      <c r="J3" s="339"/>
      <c r="K3" s="339"/>
      <c r="L3" s="339"/>
      <c r="M3" s="339"/>
      <c r="N3" s="339"/>
      <c r="O3" s="339"/>
      <c r="P3" s="339"/>
      <c r="Q3" s="339"/>
      <c r="R3" s="339"/>
      <c r="S3" s="339"/>
      <c r="T3" s="339"/>
      <c r="U3" s="339"/>
      <c r="V3" s="339"/>
      <c r="W3" s="339"/>
      <c r="X3" s="339"/>
      <c r="Y3" s="339"/>
      <c r="Z3" s="339"/>
      <c r="AA3" s="339"/>
      <c r="AB3" s="339"/>
      <c r="AC3" s="339"/>
      <c r="AD3" s="339"/>
      <c r="AE3" s="339"/>
      <c r="AF3" s="339"/>
      <c r="AG3" s="339"/>
      <c r="AH3" s="339"/>
      <c r="AI3" s="339"/>
      <c r="AJ3" s="339"/>
      <c r="AK3" s="10"/>
      <c r="AL3" s="10"/>
      <c r="AM3" s="10"/>
      <c r="AN3" s="10"/>
      <c r="AO3" s="10"/>
      <c r="AP3" s="11"/>
      <c r="AQ3" s="300"/>
    </row>
    <row r="4" spans="1:57" ht="210" customHeight="1" x14ac:dyDescent="0.8">
      <c r="A4" s="329" t="s">
        <v>235</v>
      </c>
      <c r="B4" s="329" t="s">
        <v>236</v>
      </c>
      <c r="C4" s="340" t="s">
        <v>237</v>
      </c>
      <c r="D4" s="340" t="s">
        <v>238</v>
      </c>
      <c r="E4" s="340" t="s">
        <v>239</v>
      </c>
      <c r="F4" s="340" t="s">
        <v>2</v>
      </c>
      <c r="G4" s="340" t="s">
        <v>240</v>
      </c>
      <c r="H4" s="329" t="s">
        <v>241</v>
      </c>
      <c r="I4" s="12">
        <v>2017</v>
      </c>
      <c r="J4" s="13" t="s">
        <v>242</v>
      </c>
      <c r="K4" s="13" t="s">
        <v>243</v>
      </c>
      <c r="L4" s="13" t="s">
        <v>244</v>
      </c>
      <c r="M4" s="13" t="s">
        <v>245</v>
      </c>
      <c r="N4" s="13" t="s">
        <v>246</v>
      </c>
      <c r="O4" s="249" t="s">
        <v>247</v>
      </c>
      <c r="P4" s="249" t="s">
        <v>248</v>
      </c>
      <c r="Q4" s="14" t="s">
        <v>249</v>
      </c>
      <c r="R4" s="247" t="s">
        <v>250</v>
      </c>
      <c r="S4" s="249" t="s">
        <v>251</v>
      </c>
      <c r="T4" s="247" t="s">
        <v>252</v>
      </c>
      <c r="U4" s="247" t="s">
        <v>253</v>
      </c>
      <c r="V4" s="247" t="s">
        <v>254</v>
      </c>
      <c r="W4" s="249" t="s">
        <v>255</v>
      </c>
      <c r="X4" s="13" t="s">
        <v>256</v>
      </c>
      <c r="Y4" s="249" t="s">
        <v>257</v>
      </c>
      <c r="Z4" s="247" t="s">
        <v>258</v>
      </c>
      <c r="AA4" s="247" t="s">
        <v>604</v>
      </c>
      <c r="AB4" s="15" t="s">
        <v>605</v>
      </c>
      <c r="AC4" s="247" t="s">
        <v>606</v>
      </c>
      <c r="AD4" s="247" t="s">
        <v>641</v>
      </c>
      <c r="AE4" s="15" t="s">
        <v>640</v>
      </c>
      <c r="AF4" s="16" t="s">
        <v>639</v>
      </c>
      <c r="AG4" s="16" t="s">
        <v>259</v>
      </c>
      <c r="AH4" s="16" t="s">
        <v>260</v>
      </c>
      <c r="AI4" s="16" t="s">
        <v>260</v>
      </c>
      <c r="AJ4" s="249" t="s">
        <v>261</v>
      </c>
      <c r="AK4" s="249" t="s">
        <v>262</v>
      </c>
      <c r="AL4" s="249" t="s">
        <v>263</v>
      </c>
      <c r="AM4" s="249" t="s">
        <v>264</v>
      </c>
      <c r="AN4" s="249" t="s">
        <v>265</v>
      </c>
      <c r="AO4" s="249" t="s">
        <v>266</v>
      </c>
      <c r="AP4" s="247" t="s">
        <v>267</v>
      </c>
      <c r="AQ4" s="299" t="s">
        <v>608</v>
      </c>
    </row>
    <row r="5" spans="1:57" ht="69.75" customHeight="1" x14ac:dyDescent="0.8">
      <c r="A5" s="330"/>
      <c r="B5" s="330"/>
      <c r="C5" s="341"/>
      <c r="D5" s="341"/>
      <c r="E5" s="341"/>
      <c r="F5" s="341"/>
      <c r="G5" s="341"/>
      <c r="H5" s="330"/>
      <c r="I5" s="12" t="s">
        <v>268</v>
      </c>
      <c r="J5" s="17" t="s">
        <v>268</v>
      </c>
      <c r="K5" s="13" t="s">
        <v>268</v>
      </c>
      <c r="L5" s="13" t="s">
        <v>268</v>
      </c>
      <c r="M5" s="13" t="s">
        <v>268</v>
      </c>
      <c r="N5" s="13" t="s">
        <v>268</v>
      </c>
      <c r="O5" s="13" t="s">
        <v>268</v>
      </c>
      <c r="P5" s="13" t="s">
        <v>268</v>
      </c>
      <c r="Q5" s="13" t="s">
        <v>268</v>
      </c>
      <c r="R5" s="249" t="s">
        <v>268</v>
      </c>
      <c r="S5" s="13" t="s">
        <v>268</v>
      </c>
      <c r="T5" s="249" t="s">
        <v>268</v>
      </c>
      <c r="U5" s="247" t="s">
        <v>268</v>
      </c>
      <c r="V5" s="247" t="s">
        <v>268</v>
      </c>
      <c r="W5" s="247" t="s">
        <v>268</v>
      </c>
      <c r="X5" s="247" t="s">
        <v>268</v>
      </c>
      <c r="Y5" s="247" t="s">
        <v>268</v>
      </c>
      <c r="Z5" s="247" t="s">
        <v>268</v>
      </c>
      <c r="AA5" s="249" t="s">
        <v>269</v>
      </c>
      <c r="AB5" s="249" t="s">
        <v>268</v>
      </c>
      <c r="AC5" s="249" t="s">
        <v>268</v>
      </c>
      <c r="AD5" s="249" t="s">
        <v>268</v>
      </c>
      <c r="AE5" s="249" t="s">
        <v>268</v>
      </c>
      <c r="AF5" s="249" t="s">
        <v>270</v>
      </c>
      <c r="AG5" s="249" t="s">
        <v>270</v>
      </c>
      <c r="AH5" s="249" t="s">
        <v>271</v>
      </c>
      <c r="AI5" s="249" t="s">
        <v>272</v>
      </c>
      <c r="AJ5" s="249" t="s">
        <v>271</v>
      </c>
      <c r="AK5" s="247" t="s">
        <v>271</v>
      </c>
      <c r="AL5" s="247" t="s">
        <v>271</v>
      </c>
      <c r="AM5" s="247" t="s">
        <v>271</v>
      </c>
      <c r="AN5" s="247" t="s">
        <v>271</v>
      </c>
      <c r="AO5" s="247" t="s">
        <v>271</v>
      </c>
      <c r="AP5" s="247" t="s">
        <v>271</v>
      </c>
      <c r="AQ5" s="298" t="s">
        <v>271</v>
      </c>
    </row>
    <row r="6" spans="1:57" ht="45" customHeight="1" x14ac:dyDescent="0.8">
      <c r="A6" s="248">
        <v>1.1000000000000001</v>
      </c>
      <c r="B6" s="178" t="s">
        <v>273</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9"/>
      <c r="AL6" s="19"/>
      <c r="AM6" s="19"/>
      <c r="AN6" s="19"/>
      <c r="AO6" s="19"/>
      <c r="AP6" s="20"/>
      <c r="AQ6" s="292"/>
    </row>
    <row r="7" spans="1:57" ht="45" customHeight="1" x14ac:dyDescent="1.1000000000000001">
      <c r="A7" s="179" t="s">
        <v>274</v>
      </c>
      <c r="B7" s="180" t="s">
        <v>275</v>
      </c>
      <c r="C7" s="181" t="s">
        <v>276</v>
      </c>
      <c r="D7" s="181" t="s">
        <v>277</v>
      </c>
      <c r="E7" s="181" t="s">
        <v>278</v>
      </c>
      <c r="F7" s="182" t="s">
        <v>279</v>
      </c>
      <c r="G7" s="182" t="s">
        <v>280</v>
      </c>
      <c r="H7" s="183">
        <v>22928.5569639241</v>
      </c>
      <c r="I7" s="184">
        <v>0</v>
      </c>
      <c r="J7" s="184">
        <v>0</v>
      </c>
      <c r="K7" s="184">
        <v>0</v>
      </c>
      <c r="L7" s="184">
        <v>12278.556963924098</v>
      </c>
      <c r="M7" s="184">
        <v>0</v>
      </c>
      <c r="N7" s="184">
        <f t="shared" ref="N7:N16" si="0">SUM(J7:M7)</f>
        <v>12278.556963924098</v>
      </c>
      <c r="O7" s="184">
        <v>0</v>
      </c>
      <c r="P7" s="184">
        <v>0</v>
      </c>
      <c r="Q7" s="184">
        <v>0</v>
      </c>
      <c r="R7" s="184">
        <v>0</v>
      </c>
      <c r="S7" s="184">
        <f t="shared" ref="S7:S16" si="1">Q7+R7</f>
        <v>0</v>
      </c>
      <c r="T7" s="184">
        <v>0</v>
      </c>
      <c r="U7" s="184">
        <v>0</v>
      </c>
      <c r="V7" s="184">
        <v>0</v>
      </c>
      <c r="W7" s="184">
        <f t="shared" ref="W7:W16" si="2">T7+U7+V7</f>
        <v>0</v>
      </c>
      <c r="X7" s="185">
        <f t="shared" ref="X7:X16" si="3">W7+S7+P7+O7</f>
        <v>0</v>
      </c>
      <c r="Y7" s="184">
        <v>0</v>
      </c>
      <c r="Z7" s="184">
        <v>0</v>
      </c>
      <c r="AA7" s="184"/>
      <c r="AB7" s="184">
        <f t="shared" ref="AB7:AB16" si="4">Y7+Z7+AA7</f>
        <v>0</v>
      </c>
      <c r="AC7" s="184"/>
      <c r="AD7" s="184"/>
      <c r="AE7" s="184">
        <f t="shared" ref="AE7:AE16" si="5">I7+N7+X7+AB7+AC7+AD7</f>
        <v>12278.556963924098</v>
      </c>
      <c r="AF7" s="184">
        <f t="shared" ref="AF7:AF16" si="6">H7-(I7+N7+X7+AB7+AC7+AD7)</f>
        <v>10650.000000000002</v>
      </c>
      <c r="AG7" s="184">
        <v>10650</v>
      </c>
      <c r="AH7" s="21">
        <v>10650</v>
      </c>
      <c r="AI7" s="22">
        <v>10650</v>
      </c>
      <c r="AJ7" s="22"/>
      <c r="AK7" s="23">
        <v>10650</v>
      </c>
      <c r="AL7" s="23"/>
      <c r="AM7" s="23"/>
      <c r="AN7" s="23"/>
      <c r="AO7" s="23"/>
      <c r="AP7" s="24">
        <f t="shared" ref="AP7:AP16" si="7">AJ7+AK7+AL7+AM7+AN7+AO7</f>
        <v>10650</v>
      </c>
      <c r="AQ7" s="275">
        <f>2400+5100</f>
        <v>7500</v>
      </c>
      <c r="AR7" s="262" t="s">
        <v>637</v>
      </c>
      <c r="AS7" s="297">
        <f>AF7-AQ7</f>
        <v>3150.0000000000018</v>
      </c>
    </row>
    <row r="8" spans="1:57" ht="45" customHeight="1" x14ac:dyDescent="1.1000000000000001">
      <c r="A8" s="179" t="s">
        <v>281</v>
      </c>
      <c r="B8" s="180" t="s">
        <v>282</v>
      </c>
      <c r="C8" s="181" t="s">
        <v>276</v>
      </c>
      <c r="D8" s="181" t="s">
        <v>283</v>
      </c>
      <c r="E8" s="181" t="s">
        <v>278</v>
      </c>
      <c r="F8" s="186" t="s">
        <v>284</v>
      </c>
      <c r="G8" s="186" t="s">
        <v>280</v>
      </c>
      <c r="H8" s="183">
        <v>7941</v>
      </c>
      <c r="I8" s="187">
        <v>0</v>
      </c>
      <c r="J8" s="184">
        <v>0</v>
      </c>
      <c r="K8" s="184">
        <v>0</v>
      </c>
      <c r="L8" s="184">
        <v>0</v>
      </c>
      <c r="M8" s="184">
        <v>0</v>
      </c>
      <c r="N8" s="184">
        <f t="shared" si="0"/>
        <v>0</v>
      </c>
      <c r="O8" s="188"/>
      <c r="P8" s="189"/>
      <c r="Q8" s="190"/>
      <c r="R8" s="184">
        <v>7941</v>
      </c>
      <c r="S8" s="184">
        <f t="shared" si="1"/>
        <v>7941</v>
      </c>
      <c r="T8" s="184"/>
      <c r="U8" s="184"/>
      <c r="V8" s="184"/>
      <c r="W8" s="184">
        <f t="shared" si="2"/>
        <v>0</v>
      </c>
      <c r="X8" s="185">
        <f t="shared" si="3"/>
        <v>7941</v>
      </c>
      <c r="Y8" s="184">
        <v>0</v>
      </c>
      <c r="Z8" s="184">
        <v>0</v>
      </c>
      <c r="AA8" s="184"/>
      <c r="AB8" s="184">
        <f t="shared" si="4"/>
        <v>0</v>
      </c>
      <c r="AC8" s="184"/>
      <c r="AD8" s="184"/>
      <c r="AE8" s="184">
        <f t="shared" si="5"/>
        <v>7941</v>
      </c>
      <c r="AF8" s="184">
        <f t="shared" si="6"/>
        <v>0</v>
      </c>
      <c r="AG8" s="184"/>
      <c r="AH8" s="25"/>
      <c r="AI8" s="25"/>
      <c r="AJ8" s="25"/>
      <c r="AK8" s="23"/>
      <c r="AL8" s="23"/>
      <c r="AM8" s="23"/>
      <c r="AN8" s="23"/>
      <c r="AO8" s="23"/>
      <c r="AP8" s="24">
        <f t="shared" si="7"/>
        <v>0</v>
      </c>
      <c r="AQ8" s="274"/>
    </row>
    <row r="9" spans="1:57" ht="45" customHeight="1" x14ac:dyDescent="1.1000000000000001">
      <c r="A9" s="179" t="s">
        <v>285</v>
      </c>
      <c r="B9" s="180" t="s">
        <v>286</v>
      </c>
      <c r="C9" s="181" t="s">
        <v>287</v>
      </c>
      <c r="D9" s="181" t="s">
        <v>283</v>
      </c>
      <c r="E9" s="181" t="s">
        <v>288</v>
      </c>
      <c r="F9" s="182" t="s">
        <v>289</v>
      </c>
      <c r="G9" s="182" t="s">
        <v>290</v>
      </c>
      <c r="H9" s="183">
        <v>28592.584114602865</v>
      </c>
      <c r="I9" s="187">
        <v>0</v>
      </c>
      <c r="J9" s="184">
        <v>0</v>
      </c>
      <c r="K9" s="184">
        <v>0</v>
      </c>
      <c r="L9" s="184">
        <v>1980.9172729318234</v>
      </c>
      <c r="M9" s="184">
        <v>123.66684167104178</v>
      </c>
      <c r="N9" s="184">
        <f t="shared" si="0"/>
        <v>2104.5841146028652</v>
      </c>
      <c r="O9" s="188">
        <v>19387</v>
      </c>
      <c r="P9" s="189">
        <v>2101</v>
      </c>
      <c r="Q9" s="191"/>
      <c r="R9" s="184"/>
      <c r="S9" s="184">
        <f t="shared" si="1"/>
        <v>0</v>
      </c>
      <c r="T9" s="184"/>
      <c r="U9" s="184"/>
      <c r="V9" s="184"/>
      <c r="W9" s="184">
        <f t="shared" si="2"/>
        <v>0</v>
      </c>
      <c r="X9" s="185">
        <f t="shared" si="3"/>
        <v>21488</v>
      </c>
      <c r="Y9" s="184">
        <v>0</v>
      </c>
      <c r="Z9" s="184">
        <v>0</v>
      </c>
      <c r="AA9" s="184"/>
      <c r="AB9" s="184">
        <f t="shared" si="4"/>
        <v>0</v>
      </c>
      <c r="AC9" s="184"/>
      <c r="AD9" s="184"/>
      <c r="AE9" s="184">
        <f t="shared" si="5"/>
        <v>23592.584114602865</v>
      </c>
      <c r="AF9" s="184">
        <f t="shared" si="6"/>
        <v>5000</v>
      </c>
      <c r="AG9" s="184">
        <v>5000</v>
      </c>
      <c r="AH9" s="21">
        <v>5000</v>
      </c>
      <c r="AI9" s="25">
        <v>5000</v>
      </c>
      <c r="AJ9" s="25"/>
      <c r="AK9" s="23">
        <v>2500</v>
      </c>
      <c r="AL9" s="23">
        <v>2500</v>
      </c>
      <c r="AM9" s="23"/>
      <c r="AN9" s="23"/>
      <c r="AO9" s="23"/>
      <c r="AP9" s="24">
        <f t="shared" si="7"/>
        <v>5000</v>
      </c>
      <c r="AQ9" s="274">
        <v>5000</v>
      </c>
    </row>
    <row r="10" spans="1:57" ht="45" customHeight="1" x14ac:dyDescent="1.1000000000000001">
      <c r="A10" s="179" t="s">
        <v>291</v>
      </c>
      <c r="B10" s="180" t="s">
        <v>292</v>
      </c>
      <c r="C10" s="181" t="s">
        <v>287</v>
      </c>
      <c r="D10" s="181" t="s">
        <v>283</v>
      </c>
      <c r="E10" s="181" t="s">
        <v>288</v>
      </c>
      <c r="F10" s="182" t="s">
        <v>293</v>
      </c>
      <c r="G10" s="182" t="s">
        <v>290</v>
      </c>
      <c r="H10" s="183">
        <v>0</v>
      </c>
      <c r="I10" s="187">
        <v>0</v>
      </c>
      <c r="J10" s="184">
        <v>0</v>
      </c>
      <c r="K10" s="184">
        <v>0</v>
      </c>
      <c r="L10" s="184">
        <v>0</v>
      </c>
      <c r="M10" s="184">
        <v>0</v>
      </c>
      <c r="N10" s="184">
        <f t="shared" si="0"/>
        <v>0</v>
      </c>
      <c r="O10" s="188"/>
      <c r="P10" s="189"/>
      <c r="Q10" s="190"/>
      <c r="R10" s="184"/>
      <c r="S10" s="184">
        <f t="shared" si="1"/>
        <v>0</v>
      </c>
      <c r="T10" s="184"/>
      <c r="U10" s="184"/>
      <c r="V10" s="184"/>
      <c r="W10" s="184">
        <f t="shared" si="2"/>
        <v>0</v>
      </c>
      <c r="X10" s="185">
        <f t="shared" si="3"/>
        <v>0</v>
      </c>
      <c r="Y10" s="184">
        <v>0</v>
      </c>
      <c r="Z10" s="184">
        <v>0</v>
      </c>
      <c r="AA10" s="184"/>
      <c r="AB10" s="184">
        <f t="shared" si="4"/>
        <v>0</v>
      </c>
      <c r="AC10" s="184"/>
      <c r="AD10" s="184"/>
      <c r="AE10" s="184">
        <f t="shared" si="5"/>
        <v>0</v>
      </c>
      <c r="AF10" s="184">
        <f t="shared" si="6"/>
        <v>0</v>
      </c>
      <c r="AG10" s="184"/>
      <c r="AH10" s="25"/>
      <c r="AI10" s="26"/>
      <c r="AJ10" s="25"/>
      <c r="AK10" s="23"/>
      <c r="AL10" s="23"/>
      <c r="AM10" s="23"/>
      <c r="AN10" s="23"/>
      <c r="AO10" s="23"/>
      <c r="AP10" s="24">
        <f t="shared" si="7"/>
        <v>0</v>
      </c>
      <c r="AQ10" s="274"/>
    </row>
    <row r="11" spans="1:57" ht="45" customHeight="1" x14ac:dyDescent="1.1000000000000001">
      <c r="A11" s="179" t="s">
        <v>294</v>
      </c>
      <c r="B11" s="192" t="s">
        <v>295</v>
      </c>
      <c r="C11" s="193" t="s">
        <v>296</v>
      </c>
      <c r="D11" s="181" t="s">
        <v>283</v>
      </c>
      <c r="E11" s="181" t="s">
        <v>288</v>
      </c>
      <c r="F11" s="182" t="s">
        <v>289</v>
      </c>
      <c r="G11" s="182" t="s">
        <v>297</v>
      </c>
      <c r="H11" s="183">
        <v>6815.1015525388138</v>
      </c>
      <c r="I11" s="187">
        <v>0</v>
      </c>
      <c r="J11" s="184">
        <v>0</v>
      </c>
      <c r="K11" s="184">
        <v>0</v>
      </c>
      <c r="L11" s="184">
        <v>0</v>
      </c>
      <c r="M11" s="184">
        <v>4062.1015525388134</v>
      </c>
      <c r="N11" s="184">
        <f t="shared" si="0"/>
        <v>4062.1015525388134</v>
      </c>
      <c r="O11" s="188">
        <v>2753</v>
      </c>
      <c r="P11" s="189"/>
      <c r="Q11" s="194"/>
      <c r="R11" s="184"/>
      <c r="S11" s="184">
        <f t="shared" si="1"/>
        <v>0</v>
      </c>
      <c r="T11" s="184"/>
      <c r="U11" s="184"/>
      <c r="V11" s="184"/>
      <c r="W11" s="184">
        <f t="shared" si="2"/>
        <v>0</v>
      </c>
      <c r="X11" s="185">
        <f t="shared" si="3"/>
        <v>2753</v>
      </c>
      <c r="Y11" s="184">
        <v>0</v>
      </c>
      <c r="Z11" s="184">
        <v>0</v>
      </c>
      <c r="AA11" s="184"/>
      <c r="AB11" s="184">
        <f t="shared" si="4"/>
        <v>0</v>
      </c>
      <c r="AC11" s="184"/>
      <c r="AD11" s="184"/>
      <c r="AE11" s="184">
        <f t="shared" si="5"/>
        <v>6815.1015525388138</v>
      </c>
      <c r="AF11" s="184">
        <f t="shared" si="6"/>
        <v>0</v>
      </c>
      <c r="AG11" s="184"/>
      <c r="AH11" s="25"/>
      <c r="AI11" s="25"/>
      <c r="AJ11" s="25"/>
      <c r="AK11" s="23"/>
      <c r="AL11" s="23"/>
      <c r="AM11" s="23"/>
      <c r="AN11" s="23"/>
      <c r="AO11" s="23"/>
      <c r="AP11" s="24">
        <f t="shared" si="7"/>
        <v>0</v>
      </c>
      <c r="AQ11" s="274"/>
    </row>
    <row r="12" spans="1:57" ht="45" customHeight="1" x14ac:dyDescent="0.8">
      <c r="A12" s="179" t="s">
        <v>298</v>
      </c>
      <c r="B12" s="192" t="s">
        <v>299</v>
      </c>
      <c r="C12" s="193" t="s">
        <v>300</v>
      </c>
      <c r="D12" s="181" t="s">
        <v>283</v>
      </c>
      <c r="E12" s="181" t="s">
        <v>278</v>
      </c>
      <c r="F12" s="195" t="s">
        <v>301</v>
      </c>
      <c r="G12" s="182" t="s">
        <v>302</v>
      </c>
      <c r="H12" s="183">
        <v>18866.36174296428</v>
      </c>
      <c r="I12" s="187">
        <v>0</v>
      </c>
      <c r="J12" s="184">
        <v>2706.2625904854667</v>
      </c>
      <c r="K12" s="184">
        <v>2736.068401710043</v>
      </c>
      <c r="L12" s="184">
        <v>0</v>
      </c>
      <c r="M12" s="184">
        <v>1230.0307507687692</v>
      </c>
      <c r="N12" s="184">
        <f t="shared" si="0"/>
        <v>6672.3617429642791</v>
      </c>
      <c r="O12" s="188"/>
      <c r="P12" s="188">
        <v>4964</v>
      </c>
      <c r="Q12" s="184">
        <f>1630</f>
        <v>1630</v>
      </c>
      <c r="R12" s="184"/>
      <c r="S12" s="184">
        <f t="shared" si="1"/>
        <v>1630</v>
      </c>
      <c r="T12" s="184"/>
      <c r="U12" s="184"/>
      <c r="V12" s="184"/>
      <c r="W12" s="184">
        <f t="shared" si="2"/>
        <v>0</v>
      </c>
      <c r="X12" s="185">
        <f t="shared" si="3"/>
        <v>6594</v>
      </c>
      <c r="Y12" s="184">
        <v>0</v>
      </c>
      <c r="Z12" s="184">
        <v>0</v>
      </c>
      <c r="AA12" s="184">
        <f>2310000/1501.06</f>
        <v>1538.9125018320387</v>
      </c>
      <c r="AB12" s="184">
        <f t="shared" si="4"/>
        <v>1538.9125018320387</v>
      </c>
      <c r="AC12" s="184"/>
      <c r="AD12" s="184"/>
      <c r="AE12" s="184">
        <f t="shared" si="5"/>
        <v>14805.274244796319</v>
      </c>
      <c r="AF12" s="184">
        <f t="shared" si="6"/>
        <v>4061.0874981679608</v>
      </c>
      <c r="AG12" s="184">
        <v>5600</v>
      </c>
      <c r="AH12" s="21">
        <v>5600</v>
      </c>
      <c r="AI12" s="25">
        <v>5600</v>
      </c>
      <c r="AJ12" s="25"/>
      <c r="AK12" s="23">
        <v>5600</v>
      </c>
      <c r="AL12" s="23"/>
      <c r="AM12" s="23"/>
      <c r="AN12" s="23"/>
      <c r="AO12" s="23"/>
      <c r="AP12" s="24">
        <f t="shared" si="7"/>
        <v>5600</v>
      </c>
      <c r="AQ12" s="295">
        <f>4061-401</f>
        <v>3660</v>
      </c>
      <c r="AR12" s="291" t="s">
        <v>642</v>
      </c>
      <c r="AS12" s="297">
        <f>AF12-AQ12</f>
        <v>401.0874981679608</v>
      </c>
    </row>
    <row r="13" spans="1:57" ht="45" customHeight="1" x14ac:dyDescent="1.1000000000000001">
      <c r="A13" s="196" t="s">
        <v>303</v>
      </c>
      <c r="B13" s="197" t="s">
        <v>304</v>
      </c>
      <c r="C13" s="181" t="s">
        <v>305</v>
      </c>
      <c r="D13" s="181" t="s">
        <v>283</v>
      </c>
      <c r="E13" s="193" t="s">
        <v>306</v>
      </c>
      <c r="F13" s="182" t="s">
        <v>307</v>
      </c>
      <c r="G13" s="182" t="s">
        <v>308</v>
      </c>
      <c r="H13" s="183">
        <v>5097.5649824064985</v>
      </c>
      <c r="I13" s="187">
        <v>575.45436433267662</v>
      </c>
      <c r="J13" s="184">
        <v>1279.7945601723743</v>
      </c>
      <c r="K13" s="184">
        <v>0</v>
      </c>
      <c r="L13" s="184">
        <v>2642.3160579014475</v>
      </c>
      <c r="M13" s="184"/>
      <c r="N13" s="187">
        <f t="shared" si="0"/>
        <v>3922.1106180738216</v>
      </c>
      <c r="O13" s="188"/>
      <c r="P13" s="188"/>
      <c r="Q13" s="27"/>
      <c r="R13" s="184"/>
      <c r="S13" s="184">
        <f t="shared" si="1"/>
        <v>0</v>
      </c>
      <c r="T13" s="184">
        <v>442</v>
      </c>
      <c r="U13" s="184"/>
      <c r="V13" s="184"/>
      <c r="W13" s="184">
        <f t="shared" si="2"/>
        <v>442</v>
      </c>
      <c r="X13" s="185">
        <f t="shared" si="3"/>
        <v>442</v>
      </c>
      <c r="Y13" s="184">
        <v>0</v>
      </c>
      <c r="Z13" s="184">
        <v>9</v>
      </c>
      <c r="AA13" s="184"/>
      <c r="AB13" s="184">
        <f t="shared" si="4"/>
        <v>9</v>
      </c>
      <c r="AC13" s="184"/>
      <c r="AD13" s="184"/>
      <c r="AE13" s="184">
        <f t="shared" si="5"/>
        <v>4948.5649824064985</v>
      </c>
      <c r="AF13" s="184">
        <f t="shared" si="6"/>
        <v>149</v>
      </c>
      <c r="AG13" s="184">
        <v>149</v>
      </c>
      <c r="AH13" s="28"/>
      <c r="AI13" s="28"/>
      <c r="AJ13" s="25"/>
      <c r="AK13" s="23">
        <v>158</v>
      </c>
      <c r="AL13" s="23"/>
      <c r="AM13" s="23"/>
      <c r="AN13" s="23"/>
      <c r="AO13" s="23"/>
      <c r="AP13" s="24">
        <f t="shared" si="7"/>
        <v>158</v>
      </c>
      <c r="AQ13" s="295">
        <f>149+1351</f>
        <v>1500</v>
      </c>
      <c r="AR13" s="291" t="s">
        <v>611</v>
      </c>
      <c r="AS13" s="294">
        <v>1351</v>
      </c>
    </row>
    <row r="14" spans="1:57" ht="45" customHeight="1" x14ac:dyDescent="1.1000000000000001">
      <c r="A14" s="196" t="s">
        <v>309</v>
      </c>
      <c r="B14" s="197" t="s">
        <v>310</v>
      </c>
      <c r="C14" s="181" t="s">
        <v>310</v>
      </c>
      <c r="D14" s="181" t="s">
        <v>283</v>
      </c>
      <c r="E14" s="193" t="s">
        <v>306</v>
      </c>
      <c r="F14" s="182" t="s">
        <v>311</v>
      </c>
      <c r="G14" s="182" t="s">
        <v>312</v>
      </c>
      <c r="H14" s="183">
        <v>0</v>
      </c>
      <c r="I14" s="187">
        <v>0</v>
      </c>
      <c r="J14" s="184">
        <v>0</v>
      </c>
      <c r="K14" s="184">
        <v>0</v>
      </c>
      <c r="L14" s="184">
        <v>0</v>
      </c>
      <c r="M14" s="184">
        <v>0</v>
      </c>
      <c r="N14" s="184">
        <f t="shared" si="0"/>
        <v>0</v>
      </c>
      <c r="O14" s="188"/>
      <c r="P14" s="189"/>
      <c r="Q14" s="190"/>
      <c r="R14" s="184"/>
      <c r="S14" s="184">
        <f t="shared" si="1"/>
        <v>0</v>
      </c>
      <c r="T14" s="184"/>
      <c r="U14" s="184"/>
      <c r="V14" s="184"/>
      <c r="W14" s="184">
        <f t="shared" si="2"/>
        <v>0</v>
      </c>
      <c r="X14" s="185">
        <f t="shared" si="3"/>
        <v>0</v>
      </c>
      <c r="Y14" s="184">
        <v>0</v>
      </c>
      <c r="Z14" s="184">
        <v>0</v>
      </c>
      <c r="AA14" s="184"/>
      <c r="AB14" s="184">
        <f t="shared" si="4"/>
        <v>0</v>
      </c>
      <c r="AC14" s="184"/>
      <c r="AD14" s="184"/>
      <c r="AE14" s="184">
        <f t="shared" si="5"/>
        <v>0</v>
      </c>
      <c r="AF14" s="184">
        <f t="shared" si="6"/>
        <v>0</v>
      </c>
      <c r="AG14" s="184"/>
      <c r="AH14" s="185"/>
      <c r="AI14" s="28"/>
      <c r="AJ14" s="25"/>
      <c r="AK14" s="23"/>
      <c r="AL14" s="23"/>
      <c r="AM14" s="23"/>
      <c r="AN14" s="23"/>
      <c r="AO14" s="23"/>
      <c r="AP14" s="24">
        <f t="shared" si="7"/>
        <v>0</v>
      </c>
      <c r="AQ14" s="274"/>
    </row>
    <row r="15" spans="1:57" s="32" customFormat="1" ht="45" customHeight="1" x14ac:dyDescent="1.1000000000000001">
      <c r="A15" s="179" t="s">
        <v>313</v>
      </c>
      <c r="B15" s="197" t="s">
        <v>314</v>
      </c>
      <c r="C15" s="181" t="s">
        <v>315</v>
      </c>
      <c r="D15" s="181" t="s">
        <v>283</v>
      </c>
      <c r="E15" s="193" t="s">
        <v>316</v>
      </c>
      <c r="F15" s="182" t="s">
        <v>317</v>
      </c>
      <c r="G15" s="182" t="s">
        <v>318</v>
      </c>
      <c r="H15" s="183">
        <v>3000</v>
      </c>
      <c r="I15" s="187">
        <v>0</v>
      </c>
      <c r="J15" s="184">
        <v>0</v>
      </c>
      <c r="K15" s="184">
        <v>0</v>
      </c>
      <c r="L15" s="184">
        <v>0</v>
      </c>
      <c r="M15" s="184">
        <v>0</v>
      </c>
      <c r="N15" s="184">
        <f t="shared" si="0"/>
        <v>0</v>
      </c>
      <c r="O15" s="188"/>
      <c r="P15" s="189"/>
      <c r="Q15" s="190"/>
      <c r="R15" s="184"/>
      <c r="S15" s="184">
        <f t="shared" si="1"/>
        <v>0</v>
      </c>
      <c r="T15" s="184"/>
      <c r="U15" s="184"/>
      <c r="V15" s="184"/>
      <c r="W15" s="198">
        <f t="shared" si="2"/>
        <v>0</v>
      </c>
      <c r="X15" s="199">
        <f t="shared" si="3"/>
        <v>0</v>
      </c>
      <c r="Y15" s="184">
        <v>0</v>
      </c>
      <c r="Z15" s="184">
        <v>0</v>
      </c>
      <c r="AA15" s="184"/>
      <c r="AB15" s="184">
        <f t="shared" si="4"/>
        <v>0</v>
      </c>
      <c r="AC15" s="184"/>
      <c r="AD15" s="184"/>
      <c r="AE15" s="184">
        <f t="shared" si="5"/>
        <v>0</v>
      </c>
      <c r="AF15" s="184">
        <f t="shared" si="6"/>
        <v>3000</v>
      </c>
      <c r="AG15" s="184">
        <v>3000</v>
      </c>
      <c r="AH15" s="21">
        <v>3000</v>
      </c>
      <c r="AI15" s="29"/>
      <c r="AJ15" s="21"/>
      <c r="AK15" s="30">
        <v>3000</v>
      </c>
      <c r="AL15" s="30"/>
      <c r="AM15" s="30"/>
      <c r="AN15" s="30"/>
      <c r="AO15" s="30"/>
      <c r="AP15" s="31">
        <f t="shared" si="7"/>
        <v>3000</v>
      </c>
      <c r="AQ15" s="274">
        <v>3000</v>
      </c>
      <c r="AR15" s="262"/>
      <c r="AS15" s="262"/>
      <c r="AT15" s="9"/>
      <c r="AU15" s="9"/>
      <c r="AV15" s="9"/>
      <c r="AW15" s="9"/>
      <c r="AX15" s="9"/>
      <c r="AY15" s="9"/>
      <c r="AZ15" s="9"/>
      <c r="BA15" s="9"/>
      <c r="BB15" s="9"/>
      <c r="BC15" s="9"/>
      <c r="BD15" s="9"/>
      <c r="BE15" s="9"/>
    </row>
    <row r="16" spans="1:57" s="36" customFormat="1" ht="45" customHeight="1" x14ac:dyDescent="1.1000000000000001">
      <c r="A16" s="200" t="s">
        <v>319</v>
      </c>
      <c r="B16" s="201" t="s">
        <v>320</v>
      </c>
      <c r="C16" s="202" t="s">
        <v>320</v>
      </c>
      <c r="D16" s="203" t="s">
        <v>283</v>
      </c>
      <c r="E16" s="203" t="s">
        <v>288</v>
      </c>
      <c r="F16" s="204" t="s">
        <v>321</v>
      </c>
      <c r="G16" s="204" t="s">
        <v>322</v>
      </c>
      <c r="H16" s="183">
        <v>0</v>
      </c>
      <c r="I16" s="187">
        <v>0</v>
      </c>
      <c r="J16" s="184">
        <v>0</v>
      </c>
      <c r="K16" s="184">
        <v>0</v>
      </c>
      <c r="L16" s="184">
        <v>0</v>
      </c>
      <c r="M16" s="184">
        <v>0</v>
      </c>
      <c r="N16" s="184">
        <f t="shared" si="0"/>
        <v>0</v>
      </c>
      <c r="O16" s="188"/>
      <c r="P16" s="189"/>
      <c r="Q16" s="194"/>
      <c r="R16" s="184"/>
      <c r="S16" s="184">
        <f t="shared" si="1"/>
        <v>0</v>
      </c>
      <c r="T16" s="184"/>
      <c r="U16" s="184"/>
      <c r="V16" s="184"/>
      <c r="W16" s="184">
        <f t="shared" si="2"/>
        <v>0</v>
      </c>
      <c r="X16" s="185">
        <f t="shared" si="3"/>
        <v>0</v>
      </c>
      <c r="Y16" s="184">
        <f>V16+W16+X16</f>
        <v>0</v>
      </c>
      <c r="Z16" s="184">
        <v>0</v>
      </c>
      <c r="AA16" s="184"/>
      <c r="AB16" s="184">
        <f t="shared" si="4"/>
        <v>0</v>
      </c>
      <c r="AC16" s="184"/>
      <c r="AD16" s="184"/>
      <c r="AE16" s="184">
        <f t="shared" si="5"/>
        <v>0</v>
      </c>
      <c r="AF16" s="184">
        <f t="shared" si="6"/>
        <v>0</v>
      </c>
      <c r="AG16" s="184"/>
      <c r="AH16" s="185"/>
      <c r="AI16" s="33"/>
      <c r="AJ16" s="34"/>
      <c r="AK16" s="23"/>
      <c r="AL16" s="23"/>
      <c r="AM16" s="23"/>
      <c r="AN16" s="23"/>
      <c r="AO16" s="23"/>
      <c r="AP16" s="24">
        <f t="shared" si="7"/>
        <v>0</v>
      </c>
      <c r="AQ16" s="274"/>
      <c r="AR16" s="276"/>
      <c r="AS16" s="276"/>
      <c r="AT16" s="35"/>
      <c r="AU16" s="35"/>
      <c r="AV16" s="35"/>
      <c r="AW16" s="35"/>
      <c r="AX16" s="35"/>
      <c r="AY16" s="35"/>
      <c r="AZ16" s="35"/>
      <c r="BA16" s="35"/>
      <c r="BB16" s="35"/>
      <c r="BC16" s="35"/>
      <c r="BD16" s="35"/>
      <c r="BE16" s="35"/>
    </row>
    <row r="17" spans="1:57" s="38" customFormat="1" ht="45" customHeight="1" x14ac:dyDescent="0.8">
      <c r="A17" s="327" t="s">
        <v>323</v>
      </c>
      <c r="B17" s="327"/>
      <c r="C17" s="327"/>
      <c r="D17" s="327"/>
      <c r="E17" s="327"/>
      <c r="F17" s="327"/>
      <c r="G17" s="327"/>
      <c r="H17" s="37">
        <v>93241.169356436556</v>
      </c>
      <c r="I17" s="37">
        <f t="shared" ref="I17:AQ17" si="8">SUM(I7:I16)</f>
        <v>575.45436433267662</v>
      </c>
      <c r="J17" s="37">
        <f t="shared" si="8"/>
        <v>3986.0571506578408</v>
      </c>
      <c r="K17" s="37">
        <f t="shared" si="8"/>
        <v>2736.068401710043</v>
      </c>
      <c r="L17" s="37">
        <f t="shared" si="8"/>
        <v>16901.790294757368</v>
      </c>
      <c r="M17" s="37">
        <f t="shared" si="8"/>
        <v>5415.799144978625</v>
      </c>
      <c r="N17" s="37">
        <f t="shared" si="8"/>
        <v>29039.714992103876</v>
      </c>
      <c r="O17" s="37">
        <f t="shared" si="8"/>
        <v>22140</v>
      </c>
      <c r="P17" s="37">
        <f t="shared" si="8"/>
        <v>7065</v>
      </c>
      <c r="Q17" s="37">
        <f t="shared" si="8"/>
        <v>1630</v>
      </c>
      <c r="R17" s="37">
        <f t="shared" si="8"/>
        <v>7941</v>
      </c>
      <c r="S17" s="37">
        <f t="shared" si="8"/>
        <v>9571</v>
      </c>
      <c r="T17" s="37">
        <f t="shared" si="8"/>
        <v>442</v>
      </c>
      <c r="U17" s="37">
        <f t="shared" si="8"/>
        <v>0</v>
      </c>
      <c r="V17" s="37">
        <f t="shared" si="8"/>
        <v>0</v>
      </c>
      <c r="W17" s="37">
        <f t="shared" si="8"/>
        <v>442</v>
      </c>
      <c r="X17" s="37">
        <f t="shared" si="8"/>
        <v>39218</v>
      </c>
      <c r="Y17" s="37">
        <f t="shared" si="8"/>
        <v>0</v>
      </c>
      <c r="Z17" s="37">
        <f t="shared" si="8"/>
        <v>9</v>
      </c>
      <c r="AA17" s="37">
        <f t="shared" si="8"/>
        <v>1538.9125018320387</v>
      </c>
      <c r="AB17" s="37">
        <f t="shared" si="8"/>
        <v>1547.9125018320387</v>
      </c>
      <c r="AC17" s="37">
        <f t="shared" si="8"/>
        <v>0</v>
      </c>
      <c r="AD17" s="37">
        <f t="shared" si="8"/>
        <v>0</v>
      </c>
      <c r="AE17" s="37">
        <f t="shared" si="8"/>
        <v>70381.081858268604</v>
      </c>
      <c r="AF17" s="37">
        <f t="shared" si="8"/>
        <v>22860.087498167963</v>
      </c>
      <c r="AG17" s="37">
        <f t="shared" si="8"/>
        <v>24399</v>
      </c>
      <c r="AH17" s="37">
        <f t="shared" si="8"/>
        <v>24250</v>
      </c>
      <c r="AI17" s="37">
        <f t="shared" si="8"/>
        <v>21250</v>
      </c>
      <c r="AJ17" s="37">
        <f t="shared" si="8"/>
        <v>0</v>
      </c>
      <c r="AK17" s="37">
        <f t="shared" si="8"/>
        <v>21908</v>
      </c>
      <c r="AL17" s="37">
        <f t="shared" si="8"/>
        <v>2500</v>
      </c>
      <c r="AM17" s="37">
        <f t="shared" si="8"/>
        <v>0</v>
      </c>
      <c r="AN17" s="37">
        <f t="shared" si="8"/>
        <v>0</v>
      </c>
      <c r="AO17" s="37">
        <f t="shared" si="8"/>
        <v>0</v>
      </c>
      <c r="AP17" s="37">
        <f t="shared" si="8"/>
        <v>24408</v>
      </c>
      <c r="AQ17" s="293">
        <f t="shared" si="8"/>
        <v>20660</v>
      </c>
      <c r="AR17" s="263"/>
      <c r="AS17" s="262"/>
      <c r="AT17" s="9"/>
      <c r="AU17" s="9"/>
      <c r="AV17" s="9"/>
      <c r="AW17" s="9"/>
      <c r="AX17" s="9"/>
      <c r="AY17" s="9"/>
      <c r="AZ17" s="9"/>
      <c r="BA17" s="9"/>
      <c r="BB17" s="9"/>
      <c r="BC17" s="9"/>
      <c r="BD17" s="9"/>
      <c r="BE17" s="9"/>
    </row>
    <row r="18" spans="1:57" s="39" customFormat="1" ht="45" customHeight="1" x14ac:dyDescent="0.65">
      <c r="A18" s="205" t="s">
        <v>324</v>
      </c>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92"/>
      <c r="AR18" s="291"/>
      <c r="AS18" s="291"/>
    </row>
    <row r="19" spans="1:57" ht="45" customHeight="1" x14ac:dyDescent="1.1000000000000001">
      <c r="A19" s="176">
        <v>2.1</v>
      </c>
      <c r="B19" s="206" t="s">
        <v>325</v>
      </c>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c r="AD19" s="206"/>
      <c r="AE19" s="206"/>
      <c r="AF19" s="206"/>
      <c r="AG19" s="206"/>
      <c r="AH19" s="206"/>
      <c r="AI19" s="206"/>
      <c r="AJ19" s="206"/>
      <c r="AK19" s="40"/>
      <c r="AL19" s="40"/>
      <c r="AM19" s="40"/>
      <c r="AN19" s="40"/>
      <c r="AO19" s="40"/>
      <c r="AP19" s="41"/>
      <c r="AQ19" s="290"/>
    </row>
    <row r="20" spans="1:57" ht="39" customHeight="1" x14ac:dyDescent="0.8">
      <c r="A20" s="42" t="s">
        <v>326</v>
      </c>
      <c r="B20" s="43" t="s">
        <v>327</v>
      </c>
      <c r="C20" s="44" t="s">
        <v>328</v>
      </c>
      <c r="D20" s="45" t="s">
        <v>329</v>
      </c>
      <c r="E20" s="45" t="s">
        <v>330</v>
      </c>
      <c r="F20" s="46" t="s">
        <v>331</v>
      </c>
      <c r="G20" s="46" t="s">
        <v>332</v>
      </c>
      <c r="H20" s="183">
        <v>114623</v>
      </c>
      <c r="I20" s="184">
        <v>2101</v>
      </c>
      <c r="J20" s="207">
        <v>1543</v>
      </c>
      <c r="K20" s="207">
        <v>1253</v>
      </c>
      <c r="L20" s="207">
        <v>2683</v>
      </c>
      <c r="M20" s="207">
        <v>1709</v>
      </c>
      <c r="N20" s="184">
        <f t="shared" ref="N20:N25" si="9">SUM(J20:M20)</f>
        <v>7188</v>
      </c>
      <c r="O20" s="188">
        <v>1825</v>
      </c>
      <c r="P20" s="188">
        <v>2342</v>
      </c>
      <c r="Q20" s="184">
        <f>402+679.21</f>
        <v>1081.21</v>
      </c>
      <c r="R20" s="184">
        <v>947</v>
      </c>
      <c r="S20" s="184">
        <f t="shared" ref="S20:S31" si="10">Q20+R20</f>
        <v>2028.21</v>
      </c>
      <c r="T20" s="184">
        <v>469</v>
      </c>
      <c r="U20" s="184">
        <v>320</v>
      </c>
      <c r="V20" s="184">
        <v>790</v>
      </c>
      <c r="W20" s="184">
        <f t="shared" ref="W20:W31" si="11">T20+U20+V20</f>
        <v>1579</v>
      </c>
      <c r="X20" s="185">
        <f t="shared" ref="X20:X32" si="12">W20+S20+P20+O20</f>
        <v>7774.21</v>
      </c>
      <c r="Y20" s="184">
        <v>708</v>
      </c>
      <c r="Z20" s="184">
        <v>655</v>
      </c>
      <c r="AA20" s="184">
        <f>(97000+120205+173329.6+199500+40000+162000+195000+98000+243000+13400+214000)/1501.06</f>
        <v>1036.2241349446392</v>
      </c>
      <c r="AB20" s="184">
        <f t="shared" ref="AB20:AB31" si="13">Y20+Z20+AA20</f>
        <v>2399.2241349446394</v>
      </c>
      <c r="AC20" s="184">
        <f>(138000+72632+84475.99)/1501.06</f>
        <v>196.59972952446938</v>
      </c>
      <c r="AD20" s="184">
        <f>(67000+468200+88600+82067.82)/1501.06</f>
        <v>470.24623932421093</v>
      </c>
      <c r="AE20" s="184">
        <f t="shared" ref="AE20:AE31" si="14">I20+N20+X20+AB20+AC20+AD20</f>
        <v>20129.28010379332</v>
      </c>
      <c r="AF20" s="184">
        <f t="shared" ref="AF20:AF31" si="15">H20-(I20+N20+X20+AB20+AC20+AD20)</f>
        <v>94493.719896206676</v>
      </c>
      <c r="AG20" s="25">
        <v>96204</v>
      </c>
      <c r="AH20" s="21">
        <v>96859</v>
      </c>
      <c r="AI20" s="47">
        <f>AJ20+AK20+AL20+AM20+AN20+AO20</f>
        <v>96859</v>
      </c>
      <c r="AJ20" s="184"/>
      <c r="AK20" s="48">
        <v>3000</v>
      </c>
      <c r="AL20" s="48">
        <v>3000</v>
      </c>
      <c r="AM20" s="48">
        <v>3000</v>
      </c>
      <c r="AN20" s="48">
        <f>12300+10000</f>
        <v>22300</v>
      </c>
      <c r="AO20" s="48">
        <f>47659+17900</f>
        <v>65559</v>
      </c>
      <c r="AP20" s="24">
        <f>SUM(AJ20:AO20)</f>
        <v>96859</v>
      </c>
      <c r="AQ20" s="289">
        <f>94494</f>
        <v>94494</v>
      </c>
      <c r="AT20" s="49"/>
      <c r="AW20" s="50"/>
    </row>
    <row r="21" spans="1:57" ht="45" customHeight="1" x14ac:dyDescent="0.8">
      <c r="A21" s="42" t="s">
        <v>333</v>
      </c>
      <c r="B21" s="51" t="s">
        <v>334</v>
      </c>
      <c r="C21" s="44" t="s">
        <v>335</v>
      </c>
      <c r="D21" s="45" t="s">
        <v>336</v>
      </c>
      <c r="E21" s="45" t="s">
        <v>337</v>
      </c>
      <c r="F21" s="46" t="s">
        <v>338</v>
      </c>
      <c r="G21" s="46" t="s">
        <v>339</v>
      </c>
      <c r="H21" s="183">
        <v>589182.1059741606</v>
      </c>
      <c r="I21" s="184">
        <v>43920.631424375912</v>
      </c>
      <c r="J21" s="208">
        <v>65176.28419183915</v>
      </c>
      <c r="K21" s="208">
        <v>13117.587939698493</v>
      </c>
      <c r="L21" s="208">
        <v>71704.604372795991</v>
      </c>
      <c r="M21" s="208">
        <v>13651.818045451137</v>
      </c>
      <c r="N21" s="184">
        <f t="shared" si="9"/>
        <v>163650.29454978477</v>
      </c>
      <c r="O21" s="188">
        <v>52516</v>
      </c>
      <c r="P21" s="188">
        <v>34762</v>
      </c>
      <c r="Q21" s="184">
        <f>13940+26665.18</f>
        <v>40605.18</v>
      </c>
      <c r="R21" s="184">
        <v>26566</v>
      </c>
      <c r="S21" s="184">
        <f t="shared" si="10"/>
        <v>67171.179999999993</v>
      </c>
      <c r="T21" s="184"/>
      <c r="U21" s="184">
        <v>15409</v>
      </c>
      <c r="V21" s="184"/>
      <c r="W21" s="184">
        <f t="shared" si="11"/>
        <v>15409</v>
      </c>
      <c r="X21" s="185">
        <f t="shared" si="12"/>
        <v>169858.18</v>
      </c>
      <c r="Y21" s="184">
        <v>28386</v>
      </c>
      <c r="Z21" s="184">
        <v>15191</v>
      </c>
      <c r="AA21" s="184">
        <f>22303855.83/1501.06</f>
        <v>14858.737045820953</v>
      </c>
      <c r="AB21" s="184">
        <f t="shared" si="13"/>
        <v>58435.737045820955</v>
      </c>
      <c r="AC21" s="184">
        <f>(21605659.9+21527683.3+114000)/1501.06</f>
        <v>28811.202217099919</v>
      </c>
      <c r="AD21" s="184">
        <f>21116204.5/1501.06</f>
        <v>14067.5286131134</v>
      </c>
      <c r="AE21" s="184">
        <f t="shared" si="14"/>
        <v>478743.57385019492</v>
      </c>
      <c r="AF21" s="184">
        <f t="shared" si="15"/>
        <v>110438.53212396568</v>
      </c>
      <c r="AG21" s="184">
        <v>168176</v>
      </c>
      <c r="AH21" s="21">
        <v>168116</v>
      </c>
      <c r="AI21" s="29">
        <f>AJ21+AK21+AL21+AM21+AN21+AO21</f>
        <v>168116</v>
      </c>
      <c r="AJ21" s="184"/>
      <c r="AK21" s="184">
        <v>42000</v>
      </c>
      <c r="AL21" s="184">
        <v>60000</v>
      </c>
      <c r="AM21" s="184">
        <v>66116</v>
      </c>
      <c r="AN21" s="48"/>
      <c r="AO21" s="48"/>
      <c r="AP21" s="183">
        <f>SUM(AJ21:AO21)</f>
        <v>168116</v>
      </c>
      <c r="AQ21" s="289">
        <f>110439</f>
        <v>110439</v>
      </c>
    </row>
    <row r="22" spans="1:57" ht="45" customHeight="1" x14ac:dyDescent="0.8">
      <c r="A22" s="42" t="s">
        <v>340</v>
      </c>
      <c r="B22" s="51" t="s">
        <v>341</v>
      </c>
      <c r="C22" s="45" t="s">
        <v>342</v>
      </c>
      <c r="D22" s="45" t="s">
        <v>336</v>
      </c>
      <c r="E22" s="45" t="s">
        <v>337</v>
      </c>
      <c r="F22" s="46" t="s">
        <v>338</v>
      </c>
      <c r="G22" s="46" t="s">
        <v>343</v>
      </c>
      <c r="H22" s="183">
        <v>136625.37074719329</v>
      </c>
      <c r="I22" s="184">
        <v>10438.018654210848</v>
      </c>
      <c r="J22" s="208">
        <v>21284.596087875474</v>
      </c>
      <c r="K22" s="208">
        <v>0</v>
      </c>
      <c r="L22" s="208">
        <v>17263.44600510694</v>
      </c>
      <c r="M22" s="209">
        <v>0</v>
      </c>
      <c r="N22" s="184">
        <f t="shared" si="9"/>
        <v>38548.042092982418</v>
      </c>
      <c r="O22" s="188">
        <v>14988</v>
      </c>
      <c r="P22" s="188">
        <v>7041</v>
      </c>
      <c r="Q22" s="184">
        <f>5851+1225.04</f>
        <v>7076.04</v>
      </c>
      <c r="R22" s="184">
        <v>7238</v>
      </c>
      <c r="S22" s="184">
        <f t="shared" si="10"/>
        <v>14314.04</v>
      </c>
      <c r="T22" s="184"/>
      <c r="U22" s="184">
        <v>5213</v>
      </c>
      <c r="V22" s="184"/>
      <c r="W22" s="184">
        <f t="shared" si="11"/>
        <v>5213</v>
      </c>
      <c r="X22" s="185">
        <f t="shared" si="12"/>
        <v>41556.04</v>
      </c>
      <c r="Y22" s="184">
        <v>5668</v>
      </c>
      <c r="Z22" s="184">
        <v>2239.27</v>
      </c>
      <c r="AA22" s="184">
        <f>(979805+613700)/1501.06</f>
        <v>1061.5864788882523</v>
      </c>
      <c r="AB22" s="184">
        <f t="shared" si="13"/>
        <v>8968.8564788882522</v>
      </c>
      <c r="AC22" s="184">
        <f>(531705+48500)/1501.06</f>
        <v>386.5301853356961</v>
      </c>
      <c r="AD22" s="184">
        <f>359485/1501.06</f>
        <v>239.48742888358893</v>
      </c>
      <c r="AE22" s="184">
        <f t="shared" si="14"/>
        <v>100136.9748403008</v>
      </c>
      <c r="AF22" s="184">
        <f t="shared" si="15"/>
        <v>36488.395906892489</v>
      </c>
      <c r="AG22" s="184">
        <v>38176</v>
      </c>
      <c r="AH22" s="21">
        <v>38658</v>
      </c>
      <c r="AI22" s="29">
        <f>AJ22+AK22+AL22+AM22+AN22+AO22</f>
        <v>38658</v>
      </c>
      <c r="AJ22" s="184"/>
      <c r="AK22" s="48">
        <v>8475</v>
      </c>
      <c r="AL22" s="48">
        <v>12000</v>
      </c>
      <c r="AM22" s="48">
        <v>18183</v>
      </c>
      <c r="AN22" s="48"/>
      <c r="AO22" s="48"/>
      <c r="AP22" s="183">
        <f>SUM(AJ22:AO22)</f>
        <v>38658</v>
      </c>
      <c r="AQ22" s="289">
        <f>36488</f>
        <v>36488</v>
      </c>
    </row>
    <row r="23" spans="1:57" ht="45" customHeight="1" x14ac:dyDescent="0.8">
      <c r="A23" s="42" t="s">
        <v>344</v>
      </c>
      <c r="B23" s="51" t="s">
        <v>345</v>
      </c>
      <c r="C23" s="52" t="s">
        <v>346</v>
      </c>
      <c r="D23" s="52" t="s">
        <v>336</v>
      </c>
      <c r="E23" s="52" t="s">
        <v>337</v>
      </c>
      <c r="F23" s="46" t="s">
        <v>347</v>
      </c>
      <c r="G23" s="46" t="s">
        <v>348</v>
      </c>
      <c r="H23" s="183">
        <v>3215.3194329858247</v>
      </c>
      <c r="I23" s="184">
        <v>0</v>
      </c>
      <c r="J23" s="208">
        <v>0</v>
      </c>
      <c r="K23" s="208">
        <v>0</v>
      </c>
      <c r="L23" s="208">
        <v>777.31943298582462</v>
      </c>
      <c r="M23" s="209">
        <v>0</v>
      </c>
      <c r="N23" s="184">
        <f t="shared" si="9"/>
        <v>777.31943298582462</v>
      </c>
      <c r="O23" s="188"/>
      <c r="P23" s="188">
        <v>1650</v>
      </c>
      <c r="Q23" s="184"/>
      <c r="R23" s="184">
        <v>788</v>
      </c>
      <c r="S23" s="184">
        <f t="shared" si="10"/>
        <v>788</v>
      </c>
      <c r="T23" s="184"/>
      <c r="U23" s="184"/>
      <c r="V23" s="184"/>
      <c r="W23" s="184">
        <f t="shared" si="11"/>
        <v>0</v>
      </c>
      <c r="X23" s="185">
        <f t="shared" si="12"/>
        <v>2438</v>
      </c>
      <c r="Y23" s="184">
        <v>0</v>
      </c>
      <c r="Z23" s="184">
        <v>0</v>
      </c>
      <c r="AA23" s="184"/>
      <c r="AB23" s="184">
        <f t="shared" si="13"/>
        <v>0</v>
      </c>
      <c r="AC23" s="184"/>
      <c r="AD23" s="184"/>
      <c r="AE23" s="184">
        <f t="shared" si="14"/>
        <v>3215.3194329858247</v>
      </c>
      <c r="AF23" s="184">
        <f t="shared" si="15"/>
        <v>0</v>
      </c>
      <c r="AG23" s="184"/>
      <c r="AH23" s="28"/>
      <c r="AI23" s="185"/>
      <c r="AJ23" s="184"/>
      <c r="AK23" s="48"/>
      <c r="AL23" s="48"/>
      <c r="AM23" s="48"/>
      <c r="AN23" s="48"/>
      <c r="AO23" s="48"/>
      <c r="AP23" s="183">
        <f t="shared" ref="AP23:AP31" si="16">AJ23+AK23+AL23+AM23+AN23+AO23</f>
        <v>0</v>
      </c>
      <c r="AQ23" s="287"/>
      <c r="AT23" s="53"/>
      <c r="AW23" s="53"/>
    </row>
    <row r="24" spans="1:57" ht="45" customHeight="1" x14ac:dyDescent="0.8">
      <c r="A24" s="42" t="s">
        <v>349</v>
      </c>
      <c r="B24" s="51" t="s">
        <v>350</v>
      </c>
      <c r="C24" s="44" t="s">
        <v>351</v>
      </c>
      <c r="D24" s="45" t="s">
        <v>336</v>
      </c>
      <c r="E24" s="45" t="s">
        <v>337</v>
      </c>
      <c r="F24" s="46" t="s">
        <v>352</v>
      </c>
      <c r="G24" s="46" t="s">
        <v>353</v>
      </c>
      <c r="H24" s="183">
        <v>88193.105411128679</v>
      </c>
      <c r="I24" s="184">
        <v>9031.9438602705159</v>
      </c>
      <c r="J24" s="208">
        <v>12382.2615283576</v>
      </c>
      <c r="K24" s="208">
        <v>0</v>
      </c>
      <c r="L24" s="208">
        <v>36000.900022500566</v>
      </c>
      <c r="M24" s="209">
        <v>0</v>
      </c>
      <c r="N24" s="184">
        <f t="shared" si="9"/>
        <v>48383.161550858167</v>
      </c>
      <c r="O24" s="188"/>
      <c r="P24" s="188"/>
      <c r="Q24" s="184"/>
      <c r="R24" s="184">
        <v>30778</v>
      </c>
      <c r="S24" s="184">
        <f t="shared" si="10"/>
        <v>30778</v>
      </c>
      <c r="T24" s="184"/>
      <c r="U24" s="184"/>
      <c r="V24" s="184"/>
      <c r="W24" s="184">
        <f t="shared" si="11"/>
        <v>0</v>
      </c>
      <c r="X24" s="185">
        <f t="shared" si="12"/>
        <v>30778</v>
      </c>
      <c r="Y24" s="184">
        <v>0</v>
      </c>
      <c r="Z24" s="184">
        <v>0</v>
      </c>
      <c r="AA24" s="184"/>
      <c r="AB24" s="184">
        <f t="shared" si="13"/>
        <v>0</v>
      </c>
      <c r="AC24" s="184"/>
      <c r="AD24" s="184"/>
      <c r="AE24" s="184">
        <f t="shared" si="14"/>
        <v>88193.105411128679</v>
      </c>
      <c r="AF24" s="184">
        <f t="shared" si="15"/>
        <v>0</v>
      </c>
      <c r="AG24" s="184"/>
      <c r="AH24" s="28"/>
      <c r="AI24" s="29">
        <f>AJ24+AK24+AL24+AM24+AN24+AO24</f>
        <v>0</v>
      </c>
      <c r="AJ24" s="184"/>
      <c r="AK24" s="48"/>
      <c r="AL24" s="48"/>
      <c r="AM24" s="48"/>
      <c r="AN24" s="48"/>
      <c r="AO24" s="48"/>
      <c r="AP24" s="183">
        <f t="shared" si="16"/>
        <v>0</v>
      </c>
      <c r="AQ24" s="287"/>
    </row>
    <row r="25" spans="1:57" ht="39" customHeight="1" x14ac:dyDescent="0.8">
      <c r="A25" s="42" t="s">
        <v>354</v>
      </c>
      <c r="B25" s="51" t="s">
        <v>355</v>
      </c>
      <c r="C25" s="44" t="s">
        <v>356</v>
      </c>
      <c r="D25" s="45" t="s">
        <v>357</v>
      </c>
      <c r="E25" s="45" t="s">
        <v>278</v>
      </c>
      <c r="F25" s="46" t="s">
        <v>358</v>
      </c>
      <c r="G25" s="46" t="s">
        <v>359</v>
      </c>
      <c r="H25" s="183">
        <v>32492.788110892201</v>
      </c>
      <c r="I25" s="184">
        <v>9958.6035906404268</v>
      </c>
      <c r="J25" s="208">
        <v>4526.1845202517725</v>
      </c>
      <c r="K25" s="208">
        <v>0</v>
      </c>
      <c r="L25" s="208">
        <v>0</v>
      </c>
      <c r="M25" s="209">
        <v>0</v>
      </c>
      <c r="N25" s="184">
        <f t="shared" si="9"/>
        <v>4526.1845202517725</v>
      </c>
      <c r="O25" s="188"/>
      <c r="P25" s="188"/>
      <c r="Q25" s="184"/>
      <c r="R25" s="184">
        <v>17677</v>
      </c>
      <c r="S25" s="184">
        <f t="shared" si="10"/>
        <v>17677</v>
      </c>
      <c r="T25" s="184">
        <v>324</v>
      </c>
      <c r="U25" s="184"/>
      <c r="V25" s="184"/>
      <c r="W25" s="184">
        <f t="shared" si="11"/>
        <v>324</v>
      </c>
      <c r="X25" s="185">
        <f t="shared" si="12"/>
        <v>18001</v>
      </c>
      <c r="Y25" s="184">
        <v>0</v>
      </c>
      <c r="Z25" s="184">
        <v>7</v>
      </c>
      <c r="AA25" s="184"/>
      <c r="AB25" s="184">
        <f t="shared" si="13"/>
        <v>7</v>
      </c>
      <c r="AC25" s="184"/>
      <c r="AD25" s="184"/>
      <c r="AE25" s="184">
        <f t="shared" si="14"/>
        <v>32492.788110892201</v>
      </c>
      <c r="AF25" s="184">
        <f t="shared" si="15"/>
        <v>0</v>
      </c>
      <c r="AG25" s="184">
        <v>0</v>
      </c>
      <c r="AH25" s="21"/>
      <c r="AI25" s="185">
        <f>AJ25+AK25+AL25+AM25+AN25+AO25</f>
        <v>0</v>
      </c>
      <c r="AJ25" s="25">
        <v>0</v>
      </c>
      <c r="AK25" s="23"/>
      <c r="AL25" s="23"/>
      <c r="AM25" s="23"/>
      <c r="AN25" s="23"/>
      <c r="AO25" s="23"/>
      <c r="AP25" s="24">
        <f t="shared" si="16"/>
        <v>0</v>
      </c>
      <c r="AQ25" s="287"/>
    </row>
    <row r="26" spans="1:57" ht="31.5" customHeight="1" x14ac:dyDescent="1.1000000000000001">
      <c r="A26" s="42" t="s">
        <v>360</v>
      </c>
      <c r="B26" s="54" t="s">
        <v>361</v>
      </c>
      <c r="C26" s="45" t="s">
        <v>362</v>
      </c>
      <c r="D26" s="27" t="s">
        <v>363</v>
      </c>
      <c r="E26" s="27" t="s">
        <v>364</v>
      </c>
      <c r="F26" s="27"/>
      <c r="G26" s="27"/>
      <c r="H26" s="183">
        <v>0</v>
      </c>
      <c r="I26" s="184"/>
      <c r="J26" s="208">
        <v>0</v>
      </c>
      <c r="K26" s="208">
        <v>0</v>
      </c>
      <c r="L26" s="208">
        <v>0</v>
      </c>
      <c r="M26" s="209">
        <v>0</v>
      </c>
      <c r="N26" s="184"/>
      <c r="O26" s="188"/>
      <c r="P26" s="188"/>
      <c r="Q26" s="184"/>
      <c r="R26" s="184"/>
      <c r="S26" s="184">
        <f t="shared" si="10"/>
        <v>0</v>
      </c>
      <c r="T26" s="184"/>
      <c r="U26" s="184"/>
      <c r="V26" s="184"/>
      <c r="W26" s="184">
        <f t="shared" si="11"/>
        <v>0</v>
      </c>
      <c r="X26" s="185">
        <f t="shared" si="12"/>
        <v>0</v>
      </c>
      <c r="Y26" s="184">
        <v>0</v>
      </c>
      <c r="Z26" s="184">
        <v>0</v>
      </c>
      <c r="AA26" s="184"/>
      <c r="AB26" s="184">
        <f t="shared" si="13"/>
        <v>0</v>
      </c>
      <c r="AC26" s="184"/>
      <c r="AD26" s="184"/>
      <c r="AE26" s="184">
        <f t="shared" si="14"/>
        <v>0</v>
      </c>
      <c r="AF26" s="184">
        <f t="shared" si="15"/>
        <v>0</v>
      </c>
      <c r="AG26" s="184"/>
      <c r="AH26" s="185"/>
      <c r="AI26" s="28"/>
      <c r="AJ26" s="25"/>
      <c r="AK26" s="23"/>
      <c r="AL26" s="23"/>
      <c r="AM26" s="23"/>
      <c r="AN26" s="23"/>
      <c r="AO26" s="23"/>
      <c r="AP26" s="24">
        <f t="shared" si="16"/>
        <v>0</v>
      </c>
      <c r="AQ26" s="287"/>
    </row>
    <row r="27" spans="1:57" ht="45" customHeight="1" x14ac:dyDescent="0.8">
      <c r="A27" s="42" t="s">
        <v>365</v>
      </c>
      <c r="B27" s="54" t="s">
        <v>366</v>
      </c>
      <c r="C27" s="44" t="s">
        <v>366</v>
      </c>
      <c r="D27" s="45" t="s">
        <v>336</v>
      </c>
      <c r="E27" s="45" t="s">
        <v>367</v>
      </c>
      <c r="F27" s="46" t="s">
        <v>368</v>
      </c>
      <c r="G27" s="46" t="s">
        <v>369</v>
      </c>
      <c r="H27" s="183">
        <v>78709.227126124024</v>
      </c>
      <c r="I27" s="184">
        <v>8192.0498085139352</v>
      </c>
      <c r="J27" s="208">
        <v>23326.052664493771</v>
      </c>
      <c r="K27" s="208">
        <v>3048.5487137178429</v>
      </c>
      <c r="L27" s="208">
        <v>7020</v>
      </c>
      <c r="M27" s="208">
        <v>3807.5759393984849</v>
      </c>
      <c r="N27" s="184">
        <f>SUM(J27:M27)</f>
        <v>37202.177317610098</v>
      </c>
      <c r="O27" s="188">
        <v>6602</v>
      </c>
      <c r="P27" s="188">
        <v>3376</v>
      </c>
      <c r="Q27" s="184">
        <f>3538+2567</f>
        <v>6105</v>
      </c>
      <c r="R27" s="184">
        <v>3598</v>
      </c>
      <c r="S27" s="184">
        <f t="shared" si="10"/>
        <v>9703</v>
      </c>
      <c r="T27" s="184"/>
      <c r="U27" s="184"/>
      <c r="V27" s="184"/>
      <c r="W27" s="184">
        <f t="shared" si="11"/>
        <v>0</v>
      </c>
      <c r="X27" s="185">
        <f t="shared" si="12"/>
        <v>19681</v>
      </c>
      <c r="Y27" s="184">
        <v>7134</v>
      </c>
      <c r="Z27" s="184">
        <v>0</v>
      </c>
      <c r="AA27" s="184">
        <f>(4765723+693300)/1501.06</f>
        <v>3636.7786764020093</v>
      </c>
      <c r="AB27" s="184">
        <f t="shared" si="13"/>
        <v>10770.778676402009</v>
      </c>
      <c r="AC27" s="184"/>
      <c r="AD27" s="184"/>
      <c r="AE27" s="184">
        <f t="shared" si="14"/>
        <v>75846.005802526037</v>
      </c>
      <c r="AF27" s="184">
        <f t="shared" si="15"/>
        <v>2863.2213235979871</v>
      </c>
      <c r="AG27" s="184">
        <f>4631+1869</f>
        <v>6500</v>
      </c>
      <c r="AH27" s="21">
        <v>6500</v>
      </c>
      <c r="AI27" s="28">
        <v>6500</v>
      </c>
      <c r="AJ27" s="25"/>
      <c r="AK27" s="25"/>
      <c r="AL27" s="25">
        <v>6500</v>
      </c>
      <c r="AM27" s="25"/>
      <c r="AN27" s="25"/>
      <c r="AO27" s="23"/>
      <c r="AP27" s="24">
        <f t="shared" si="16"/>
        <v>6500</v>
      </c>
      <c r="AQ27" s="288">
        <f>2863+137</f>
        <v>3000</v>
      </c>
      <c r="AS27" s="276">
        <v>137</v>
      </c>
    </row>
    <row r="28" spans="1:57" ht="45" customHeight="1" x14ac:dyDescent="0.8">
      <c r="A28" s="42" t="s">
        <v>370</v>
      </c>
      <c r="B28" s="54" t="s">
        <v>371</v>
      </c>
      <c r="C28" s="44" t="s">
        <v>372</v>
      </c>
      <c r="D28" s="45" t="s">
        <v>336</v>
      </c>
      <c r="E28" s="45" t="s">
        <v>367</v>
      </c>
      <c r="F28" s="46" t="s">
        <v>373</v>
      </c>
      <c r="G28" s="46" t="s">
        <v>374</v>
      </c>
      <c r="H28" s="183">
        <v>24609.66805159174</v>
      </c>
      <c r="I28" s="184">
        <v>3767.6923531017787</v>
      </c>
      <c r="J28" s="208">
        <v>2866.3570830245726</v>
      </c>
      <c r="K28" s="208">
        <v>2961.7520438010952</v>
      </c>
      <c r="L28" s="208">
        <v>2398.3349583739596</v>
      </c>
      <c r="M28" s="208">
        <v>2794.5316132903322</v>
      </c>
      <c r="N28" s="184">
        <f>SUM(J28:M28)</f>
        <v>11020.97569848996</v>
      </c>
      <c r="O28" s="188">
        <v>2233</v>
      </c>
      <c r="P28" s="188">
        <v>3108</v>
      </c>
      <c r="Q28" s="184">
        <v>732</v>
      </c>
      <c r="R28" s="184">
        <v>713</v>
      </c>
      <c r="S28" s="184">
        <f t="shared" si="10"/>
        <v>1445</v>
      </c>
      <c r="T28" s="184">
        <v>133</v>
      </c>
      <c r="U28" s="184"/>
      <c r="V28" s="184">
        <v>200</v>
      </c>
      <c r="W28" s="184">
        <f t="shared" si="11"/>
        <v>333</v>
      </c>
      <c r="X28" s="185">
        <f t="shared" si="12"/>
        <v>7119</v>
      </c>
      <c r="Y28" s="184">
        <v>0</v>
      </c>
      <c r="Z28" s="184">
        <v>218</v>
      </c>
      <c r="AA28" s="184">
        <f>(108450+174200+148230+396900+642650)/1501.06</f>
        <v>979.59441994324015</v>
      </c>
      <c r="AB28" s="184">
        <f t="shared" si="13"/>
        <v>1197.5944199432402</v>
      </c>
      <c r="AC28" s="184"/>
      <c r="AD28" s="184"/>
      <c r="AE28" s="184">
        <f t="shared" si="14"/>
        <v>23105.262471534981</v>
      </c>
      <c r="AF28" s="184">
        <f t="shared" si="15"/>
        <v>1504.4055800567585</v>
      </c>
      <c r="AG28" s="184">
        <v>2484</v>
      </c>
      <c r="AH28" s="21">
        <v>2702</v>
      </c>
      <c r="AI28" s="28">
        <v>2702</v>
      </c>
      <c r="AJ28" s="25"/>
      <c r="AK28" s="25">
        <v>1400</v>
      </c>
      <c r="AL28" s="25">
        <v>1302</v>
      </c>
      <c r="AM28" s="25"/>
      <c r="AN28" s="25"/>
      <c r="AO28" s="23"/>
      <c r="AP28" s="24">
        <f t="shared" si="16"/>
        <v>2702</v>
      </c>
      <c r="AQ28" s="288">
        <f>1504+1881</f>
        <v>3385</v>
      </c>
      <c r="AS28" s="276">
        <v>1881</v>
      </c>
    </row>
    <row r="29" spans="1:57" ht="45" customHeight="1" x14ac:dyDescent="0.8">
      <c r="A29" s="42" t="s">
        <v>375</v>
      </c>
      <c r="B29" s="54" t="s">
        <v>376</v>
      </c>
      <c r="C29" s="44"/>
      <c r="D29" s="45"/>
      <c r="E29" s="45"/>
      <c r="F29" s="46"/>
      <c r="G29" s="46"/>
      <c r="H29" s="183">
        <v>2400</v>
      </c>
      <c r="I29" s="184"/>
      <c r="J29" s="208"/>
      <c r="K29" s="208"/>
      <c r="L29" s="208"/>
      <c r="M29" s="208"/>
      <c r="N29" s="184"/>
      <c r="O29" s="188"/>
      <c r="P29" s="188"/>
      <c r="Q29" s="184"/>
      <c r="R29" s="184">
        <v>2400</v>
      </c>
      <c r="S29" s="184">
        <f t="shared" si="10"/>
        <v>2400</v>
      </c>
      <c r="T29" s="184"/>
      <c r="U29" s="184"/>
      <c r="V29" s="184"/>
      <c r="W29" s="184">
        <f t="shared" si="11"/>
        <v>0</v>
      </c>
      <c r="X29" s="185">
        <f t="shared" si="12"/>
        <v>2400</v>
      </c>
      <c r="Y29" s="184">
        <v>0</v>
      </c>
      <c r="Z29" s="184">
        <v>0</v>
      </c>
      <c r="AA29" s="184"/>
      <c r="AB29" s="184">
        <f t="shared" si="13"/>
        <v>0</v>
      </c>
      <c r="AC29" s="184"/>
      <c r="AD29" s="184"/>
      <c r="AE29" s="184">
        <f t="shared" si="14"/>
        <v>2400</v>
      </c>
      <c r="AF29" s="184">
        <f t="shared" si="15"/>
        <v>0</v>
      </c>
      <c r="AG29" s="184"/>
      <c r="AH29" s="184"/>
      <c r="AI29" s="28"/>
      <c r="AJ29" s="25"/>
      <c r="AK29" s="23"/>
      <c r="AL29" s="23"/>
      <c r="AM29" s="23"/>
      <c r="AN29" s="23"/>
      <c r="AO29" s="23"/>
      <c r="AP29" s="24">
        <f t="shared" si="16"/>
        <v>0</v>
      </c>
      <c r="AQ29" s="287"/>
    </row>
    <row r="30" spans="1:57" ht="45" customHeight="1" x14ac:dyDescent="0.8">
      <c r="A30" s="42" t="s">
        <v>377</v>
      </c>
      <c r="B30" s="54" t="s">
        <v>378</v>
      </c>
      <c r="C30" s="44"/>
      <c r="D30" s="45"/>
      <c r="E30" s="45"/>
      <c r="F30" s="46"/>
      <c r="G30" s="46"/>
      <c r="H30" s="183">
        <v>537</v>
      </c>
      <c r="I30" s="184"/>
      <c r="J30" s="208"/>
      <c r="K30" s="208"/>
      <c r="L30" s="208"/>
      <c r="M30" s="208"/>
      <c r="N30" s="184"/>
      <c r="O30" s="188"/>
      <c r="P30" s="188"/>
      <c r="Q30" s="184"/>
      <c r="R30" s="184">
        <v>537</v>
      </c>
      <c r="S30" s="184">
        <f t="shared" si="10"/>
        <v>537</v>
      </c>
      <c r="T30" s="184"/>
      <c r="U30" s="184"/>
      <c r="V30" s="184"/>
      <c r="W30" s="184">
        <f t="shared" si="11"/>
        <v>0</v>
      </c>
      <c r="X30" s="185">
        <f t="shared" si="12"/>
        <v>537</v>
      </c>
      <c r="Y30" s="184">
        <v>0</v>
      </c>
      <c r="Z30" s="184">
        <v>0</v>
      </c>
      <c r="AA30" s="184"/>
      <c r="AB30" s="184">
        <f t="shared" si="13"/>
        <v>0</v>
      </c>
      <c r="AC30" s="184"/>
      <c r="AD30" s="184"/>
      <c r="AE30" s="184">
        <f t="shared" si="14"/>
        <v>537</v>
      </c>
      <c r="AF30" s="184">
        <f t="shared" si="15"/>
        <v>0</v>
      </c>
      <c r="AG30" s="184"/>
      <c r="AH30" s="184"/>
      <c r="AI30" s="28"/>
      <c r="AJ30" s="25"/>
      <c r="AK30" s="23"/>
      <c r="AL30" s="23"/>
      <c r="AM30" s="23"/>
      <c r="AN30" s="23"/>
      <c r="AO30" s="23"/>
      <c r="AP30" s="24">
        <f t="shared" si="16"/>
        <v>0</v>
      </c>
      <c r="AQ30" s="287"/>
    </row>
    <row r="31" spans="1:57" ht="45" customHeight="1" x14ac:dyDescent="0.8">
      <c r="A31" s="42" t="s">
        <v>379</v>
      </c>
      <c r="B31" s="42" t="s">
        <v>380</v>
      </c>
      <c r="C31" s="44"/>
      <c r="D31" s="45"/>
      <c r="E31" s="45"/>
      <c r="F31" s="46"/>
      <c r="G31" s="46"/>
      <c r="H31" s="183">
        <v>15493</v>
      </c>
      <c r="I31" s="184">
        <v>2515</v>
      </c>
      <c r="J31" s="208">
        <v>3691</v>
      </c>
      <c r="K31" s="208">
        <v>1066</v>
      </c>
      <c r="L31" s="208">
        <v>461</v>
      </c>
      <c r="M31" s="209">
        <v>0</v>
      </c>
      <c r="N31" s="184">
        <f>SUM(J31:M31)</f>
        <v>5218</v>
      </c>
      <c r="O31" s="188">
        <v>3603</v>
      </c>
      <c r="P31" s="188">
        <v>810</v>
      </c>
      <c r="Q31" s="184">
        <f>232</f>
        <v>232</v>
      </c>
      <c r="R31" s="184"/>
      <c r="S31" s="184">
        <f t="shared" si="10"/>
        <v>232</v>
      </c>
      <c r="T31" s="184">
        <v>3115</v>
      </c>
      <c r="U31" s="184"/>
      <c r="V31" s="184"/>
      <c r="W31" s="184">
        <f t="shared" si="11"/>
        <v>3115</v>
      </c>
      <c r="X31" s="185">
        <f t="shared" si="12"/>
        <v>7760</v>
      </c>
      <c r="Y31" s="184">
        <v>0</v>
      </c>
      <c r="Z31" s="184">
        <v>0</v>
      </c>
      <c r="AA31" s="184"/>
      <c r="AB31" s="184">
        <f t="shared" si="13"/>
        <v>0</v>
      </c>
      <c r="AC31" s="184"/>
      <c r="AD31" s="184"/>
      <c r="AE31" s="184">
        <f t="shared" si="14"/>
        <v>15493</v>
      </c>
      <c r="AF31" s="184">
        <f t="shared" si="15"/>
        <v>0</v>
      </c>
      <c r="AG31" s="184"/>
      <c r="AH31" s="184"/>
      <c r="AI31" s="28"/>
      <c r="AJ31" s="25"/>
      <c r="AK31" s="23"/>
      <c r="AL31" s="23"/>
      <c r="AM31" s="23"/>
      <c r="AN31" s="23"/>
      <c r="AO31" s="23"/>
      <c r="AP31" s="24">
        <f t="shared" si="16"/>
        <v>0</v>
      </c>
      <c r="AQ31" s="287"/>
    </row>
    <row r="32" spans="1:57" ht="45" customHeight="1" x14ac:dyDescent="0.8">
      <c r="A32" s="331" t="s">
        <v>381</v>
      </c>
      <c r="B32" s="332"/>
      <c r="C32" s="332"/>
      <c r="D32" s="332"/>
      <c r="E32" s="332"/>
      <c r="F32" s="332"/>
      <c r="G32" s="333"/>
      <c r="H32" s="37">
        <v>1086080.5848540764</v>
      </c>
      <c r="I32" s="37">
        <f t="shared" ref="I32:W32" si="17">SUM(I20:I31)</f>
        <v>89924.939691113424</v>
      </c>
      <c r="J32" s="37">
        <f t="shared" si="17"/>
        <v>134795.73607584235</v>
      </c>
      <c r="K32" s="37">
        <f t="shared" si="17"/>
        <v>21446.88869721743</v>
      </c>
      <c r="L32" s="37">
        <f t="shared" si="17"/>
        <v>138308.60479176327</v>
      </c>
      <c r="M32" s="37">
        <f t="shared" si="17"/>
        <v>21962.925598139955</v>
      </c>
      <c r="N32" s="37">
        <f t="shared" si="17"/>
        <v>316514.15516296303</v>
      </c>
      <c r="O32" s="37">
        <f t="shared" si="17"/>
        <v>81767</v>
      </c>
      <c r="P32" s="37">
        <f t="shared" si="17"/>
        <v>53089</v>
      </c>
      <c r="Q32" s="37">
        <f t="shared" si="17"/>
        <v>55831.43</v>
      </c>
      <c r="R32" s="37">
        <f t="shared" si="17"/>
        <v>91242</v>
      </c>
      <c r="S32" s="37">
        <f t="shared" si="17"/>
        <v>147073.43</v>
      </c>
      <c r="T32" s="37">
        <f t="shared" si="17"/>
        <v>4041</v>
      </c>
      <c r="U32" s="37">
        <f t="shared" si="17"/>
        <v>20942</v>
      </c>
      <c r="V32" s="37">
        <f t="shared" si="17"/>
        <v>990</v>
      </c>
      <c r="W32" s="37">
        <f t="shared" si="17"/>
        <v>25973</v>
      </c>
      <c r="X32" s="37">
        <f t="shared" si="12"/>
        <v>307902.43</v>
      </c>
      <c r="Y32" s="37">
        <f t="shared" ref="Y32:AQ32" si="18">SUM(Y20:Y31)</f>
        <v>41896</v>
      </c>
      <c r="Z32" s="37">
        <f t="shared" si="18"/>
        <v>18310.27</v>
      </c>
      <c r="AA32" s="37">
        <f t="shared" si="18"/>
        <v>21572.920755999097</v>
      </c>
      <c r="AB32" s="37">
        <f t="shared" si="18"/>
        <v>81779.190755999109</v>
      </c>
      <c r="AC32" s="37">
        <f t="shared" si="18"/>
        <v>29394.332131960087</v>
      </c>
      <c r="AD32" s="37">
        <f t="shared" si="18"/>
        <v>14777.2622813212</v>
      </c>
      <c r="AE32" s="37">
        <f t="shared" si="18"/>
        <v>840292.31002335681</v>
      </c>
      <c r="AF32" s="37">
        <f t="shared" si="18"/>
        <v>245788.27483071963</v>
      </c>
      <c r="AG32" s="37">
        <f t="shared" si="18"/>
        <v>311540</v>
      </c>
      <c r="AH32" s="55">
        <f t="shared" si="18"/>
        <v>312835</v>
      </c>
      <c r="AI32" s="55">
        <f t="shared" si="18"/>
        <v>312835</v>
      </c>
      <c r="AJ32" s="55">
        <f t="shared" si="18"/>
        <v>0</v>
      </c>
      <c r="AK32" s="55">
        <f t="shared" si="18"/>
        <v>54875</v>
      </c>
      <c r="AL32" s="55">
        <f t="shared" si="18"/>
        <v>82802</v>
      </c>
      <c r="AM32" s="55">
        <f t="shared" si="18"/>
        <v>87299</v>
      </c>
      <c r="AN32" s="55">
        <f t="shared" si="18"/>
        <v>22300</v>
      </c>
      <c r="AO32" s="55">
        <f t="shared" si="18"/>
        <v>65559</v>
      </c>
      <c r="AP32" s="55">
        <f t="shared" si="18"/>
        <v>312835</v>
      </c>
      <c r="AQ32" s="281">
        <f t="shared" si="18"/>
        <v>247806</v>
      </c>
    </row>
    <row r="33" spans="1:45" ht="45" customHeight="1" x14ac:dyDescent="0.8">
      <c r="A33" s="248">
        <v>2.2000000000000002</v>
      </c>
      <c r="B33" s="205" t="s">
        <v>382</v>
      </c>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86"/>
    </row>
    <row r="34" spans="1:45" ht="45" customHeight="1" x14ac:dyDescent="1.1000000000000001">
      <c r="A34" s="54" t="s">
        <v>384</v>
      </c>
      <c r="B34" s="43" t="s">
        <v>385</v>
      </c>
      <c r="C34" s="42" t="s">
        <v>386</v>
      </c>
      <c r="D34" s="42" t="s">
        <v>387</v>
      </c>
      <c r="E34" s="42" t="s">
        <v>367</v>
      </c>
      <c r="F34" s="56" t="s">
        <v>321</v>
      </c>
      <c r="G34" s="56" t="s">
        <v>322</v>
      </c>
      <c r="H34" s="183">
        <v>0</v>
      </c>
      <c r="I34" s="187">
        <v>0</v>
      </c>
      <c r="J34" s="184">
        <v>0</v>
      </c>
      <c r="K34" s="184">
        <v>0</v>
      </c>
      <c r="L34" s="184">
        <v>0</v>
      </c>
      <c r="M34" s="184">
        <v>0</v>
      </c>
      <c r="N34" s="184">
        <f>SUM(J34:M34)</f>
        <v>0</v>
      </c>
      <c r="O34" s="184"/>
      <c r="P34" s="184"/>
      <c r="Q34" s="184"/>
      <c r="R34" s="184"/>
      <c r="S34" s="184">
        <f t="shared" ref="S34:S40" si="19">Q34+R34</f>
        <v>0</v>
      </c>
      <c r="T34" s="184"/>
      <c r="U34" s="184"/>
      <c r="V34" s="184"/>
      <c r="W34" s="184">
        <f t="shared" ref="W34:W40" si="20">T34+U34+V34</f>
        <v>0</v>
      </c>
      <c r="X34" s="185">
        <f t="shared" ref="X34:X41" si="21">W34+S34+P34+O34</f>
        <v>0</v>
      </c>
      <c r="Y34" s="184">
        <v>0</v>
      </c>
      <c r="Z34" s="184">
        <v>0</v>
      </c>
      <c r="AA34" s="184"/>
      <c r="AB34" s="184">
        <f t="shared" ref="AB34:AB40" si="22">Y34+Z34+AA34</f>
        <v>0</v>
      </c>
      <c r="AC34" s="184"/>
      <c r="AD34" s="184"/>
      <c r="AE34" s="184">
        <f t="shared" ref="AE34:AE40" si="23">I34+N34+X34+AB34+AC34+AD34</f>
        <v>0</v>
      </c>
      <c r="AF34" s="184">
        <f t="shared" ref="AF34:AF40" si="24">H34-(I34+N34+X34+AB34+AC34+AD34)</f>
        <v>0</v>
      </c>
      <c r="AG34" s="184"/>
      <c r="AH34" s="184"/>
      <c r="AI34" s="185"/>
      <c r="AJ34" s="185"/>
      <c r="AK34" s="48"/>
      <c r="AL34" s="48"/>
      <c r="AM34" s="48"/>
      <c r="AN34" s="48"/>
      <c r="AO34" s="48"/>
      <c r="AP34" s="183">
        <f t="shared" ref="AP34:AP40" si="25">AJ34+AK34+AL34+AM34+AN34+AO34</f>
        <v>0</v>
      </c>
      <c r="AQ34" s="274"/>
    </row>
    <row r="35" spans="1:45" ht="56.25" customHeight="1" x14ac:dyDescent="1.1000000000000001">
      <c r="A35" s="54" t="s">
        <v>388</v>
      </c>
      <c r="B35" s="43" t="s">
        <v>389</v>
      </c>
      <c r="C35" s="51" t="s">
        <v>390</v>
      </c>
      <c r="D35" s="42" t="s">
        <v>391</v>
      </c>
      <c r="E35" s="42" t="s">
        <v>392</v>
      </c>
      <c r="F35" s="56" t="s">
        <v>393</v>
      </c>
      <c r="G35" s="56" t="s">
        <v>394</v>
      </c>
      <c r="H35" s="183">
        <v>2444.3111077776944</v>
      </c>
      <c r="I35" s="187">
        <v>0</v>
      </c>
      <c r="J35" s="184">
        <v>0</v>
      </c>
      <c r="K35" s="184">
        <v>0</v>
      </c>
      <c r="L35" s="184">
        <v>2444.3111077776944</v>
      </c>
      <c r="M35" s="184">
        <v>0</v>
      </c>
      <c r="N35" s="184">
        <f>SUM(J35:M35)</f>
        <v>2444.3111077776944</v>
      </c>
      <c r="O35" s="184"/>
      <c r="P35" s="184"/>
      <c r="Q35" s="184"/>
      <c r="R35" s="184"/>
      <c r="S35" s="184">
        <f t="shared" si="19"/>
        <v>0</v>
      </c>
      <c r="T35" s="184"/>
      <c r="U35" s="184"/>
      <c r="V35" s="184"/>
      <c r="W35" s="184">
        <f t="shared" si="20"/>
        <v>0</v>
      </c>
      <c r="X35" s="185">
        <f t="shared" si="21"/>
        <v>0</v>
      </c>
      <c r="Y35" s="184">
        <v>0</v>
      </c>
      <c r="Z35" s="184">
        <v>0</v>
      </c>
      <c r="AA35" s="184"/>
      <c r="AB35" s="184">
        <f t="shared" si="22"/>
        <v>0</v>
      </c>
      <c r="AC35" s="184"/>
      <c r="AD35" s="184"/>
      <c r="AE35" s="184">
        <f t="shared" si="23"/>
        <v>2444.3111077776944</v>
      </c>
      <c r="AF35" s="184">
        <f t="shared" si="24"/>
        <v>0</v>
      </c>
      <c r="AG35" s="184"/>
      <c r="AH35" s="184"/>
      <c r="AI35" s="210"/>
      <c r="AJ35" s="211"/>
      <c r="AK35" s="48"/>
      <c r="AL35" s="48"/>
      <c r="AM35" s="48"/>
      <c r="AN35" s="48"/>
      <c r="AO35" s="48"/>
      <c r="AP35" s="183">
        <f t="shared" si="25"/>
        <v>0</v>
      </c>
      <c r="AQ35" s="274"/>
    </row>
    <row r="36" spans="1:45" ht="45" customHeight="1" x14ac:dyDescent="1.1000000000000001">
      <c r="A36" s="54" t="s">
        <v>395</v>
      </c>
      <c r="B36" s="43" t="s">
        <v>396</v>
      </c>
      <c r="C36" s="51" t="s">
        <v>397</v>
      </c>
      <c r="D36" s="42" t="s">
        <v>398</v>
      </c>
      <c r="E36" s="42" t="s">
        <v>399</v>
      </c>
      <c r="F36" s="56" t="s">
        <v>400</v>
      </c>
      <c r="G36" s="56" t="s">
        <v>401</v>
      </c>
      <c r="H36" s="183">
        <v>5238</v>
      </c>
      <c r="I36" s="187">
        <v>0</v>
      </c>
      <c r="J36" s="184">
        <v>3224</v>
      </c>
      <c r="K36" s="184">
        <v>0</v>
      </c>
      <c r="L36" s="184">
        <v>0</v>
      </c>
      <c r="M36" s="184">
        <v>0</v>
      </c>
      <c r="N36" s="184">
        <f>SUM(J36:M36)</f>
        <v>3224</v>
      </c>
      <c r="O36" s="184"/>
      <c r="P36" s="184">
        <v>2014</v>
      </c>
      <c r="Q36" s="184"/>
      <c r="R36" s="184"/>
      <c r="S36" s="184">
        <f t="shared" si="19"/>
        <v>0</v>
      </c>
      <c r="T36" s="184"/>
      <c r="U36" s="184"/>
      <c r="V36" s="184"/>
      <c r="W36" s="184">
        <f t="shared" si="20"/>
        <v>0</v>
      </c>
      <c r="X36" s="185">
        <f t="shared" si="21"/>
        <v>2014</v>
      </c>
      <c r="Y36" s="184">
        <v>0</v>
      </c>
      <c r="Z36" s="184">
        <v>0</v>
      </c>
      <c r="AA36" s="184"/>
      <c r="AB36" s="184">
        <f t="shared" si="22"/>
        <v>0</v>
      </c>
      <c r="AC36" s="184"/>
      <c r="AD36" s="184"/>
      <c r="AE36" s="184">
        <f t="shared" si="23"/>
        <v>5238</v>
      </c>
      <c r="AF36" s="184">
        <f t="shared" si="24"/>
        <v>0</v>
      </c>
      <c r="AG36" s="184"/>
      <c r="AH36" s="184"/>
      <c r="AI36" s="57"/>
      <c r="AJ36" s="211"/>
      <c r="AK36" s="48"/>
      <c r="AL36" s="48"/>
      <c r="AM36" s="48"/>
      <c r="AN36" s="48"/>
      <c r="AO36" s="48"/>
      <c r="AP36" s="183">
        <f t="shared" si="25"/>
        <v>0</v>
      </c>
      <c r="AQ36" s="274"/>
    </row>
    <row r="37" spans="1:45" ht="45" customHeight="1" x14ac:dyDescent="1.1000000000000001">
      <c r="A37" s="54" t="s">
        <v>402</v>
      </c>
      <c r="B37" s="43" t="s">
        <v>403</v>
      </c>
      <c r="C37" s="43" t="s">
        <v>404</v>
      </c>
      <c r="D37" s="42" t="s">
        <v>405</v>
      </c>
      <c r="E37" s="42" t="s">
        <v>399</v>
      </c>
      <c r="F37" s="56"/>
      <c r="G37" s="56"/>
      <c r="H37" s="183">
        <v>0</v>
      </c>
      <c r="I37" s="187"/>
      <c r="J37" s="184"/>
      <c r="K37" s="184"/>
      <c r="L37" s="184"/>
      <c r="M37" s="184"/>
      <c r="N37" s="184"/>
      <c r="O37" s="184"/>
      <c r="P37" s="184"/>
      <c r="Q37" s="184"/>
      <c r="R37" s="184"/>
      <c r="S37" s="184">
        <f t="shared" si="19"/>
        <v>0</v>
      </c>
      <c r="T37" s="184"/>
      <c r="U37" s="184"/>
      <c r="V37" s="184"/>
      <c r="W37" s="184">
        <f t="shared" si="20"/>
        <v>0</v>
      </c>
      <c r="X37" s="185">
        <f t="shared" si="21"/>
        <v>0</v>
      </c>
      <c r="Y37" s="184">
        <v>0</v>
      </c>
      <c r="Z37" s="184">
        <v>0</v>
      </c>
      <c r="AA37" s="184"/>
      <c r="AB37" s="184">
        <f t="shared" si="22"/>
        <v>0</v>
      </c>
      <c r="AC37" s="184"/>
      <c r="AD37" s="184"/>
      <c r="AE37" s="184">
        <f t="shared" si="23"/>
        <v>0</v>
      </c>
      <c r="AF37" s="184">
        <f t="shared" si="24"/>
        <v>0</v>
      </c>
      <c r="AG37" s="184"/>
      <c r="AH37" s="184"/>
      <c r="AI37" s="57"/>
      <c r="AJ37" s="211"/>
      <c r="AK37" s="48"/>
      <c r="AL37" s="48"/>
      <c r="AM37" s="48"/>
      <c r="AN37" s="48"/>
      <c r="AO37" s="48"/>
      <c r="AP37" s="183">
        <f t="shared" si="25"/>
        <v>0</v>
      </c>
      <c r="AQ37" s="274"/>
    </row>
    <row r="38" spans="1:45" ht="45" customHeight="1" x14ac:dyDescent="1.1000000000000001">
      <c r="A38" s="54" t="s">
        <v>406</v>
      </c>
      <c r="B38" s="58" t="s">
        <v>407</v>
      </c>
      <c r="C38" s="59" t="s">
        <v>408</v>
      </c>
      <c r="D38" s="42" t="s">
        <v>391</v>
      </c>
      <c r="E38" s="42" t="s">
        <v>367</v>
      </c>
      <c r="F38" s="60" t="s">
        <v>409</v>
      </c>
      <c r="G38" s="60" t="s">
        <v>410</v>
      </c>
      <c r="H38" s="183">
        <v>12115</v>
      </c>
      <c r="I38" s="187">
        <v>0</v>
      </c>
      <c r="J38" s="184">
        <v>0</v>
      </c>
      <c r="K38" s="184">
        <v>0</v>
      </c>
      <c r="L38" s="184">
        <v>0</v>
      </c>
      <c r="M38" s="184">
        <v>0</v>
      </c>
      <c r="N38" s="184">
        <f>SUM(J38:M38)</f>
        <v>0</v>
      </c>
      <c r="O38" s="184">
        <v>270</v>
      </c>
      <c r="P38" s="184">
        <v>5456</v>
      </c>
      <c r="Q38" s="184"/>
      <c r="R38" s="184">
        <v>1222</v>
      </c>
      <c r="S38" s="184">
        <f t="shared" si="19"/>
        <v>1222</v>
      </c>
      <c r="T38" s="184"/>
      <c r="U38" s="184">
        <v>1284</v>
      </c>
      <c r="V38" s="184"/>
      <c r="W38" s="184">
        <f t="shared" si="20"/>
        <v>1284</v>
      </c>
      <c r="X38" s="185">
        <f t="shared" si="21"/>
        <v>8232</v>
      </c>
      <c r="Y38" s="184">
        <v>0</v>
      </c>
      <c r="Z38" s="184">
        <v>0</v>
      </c>
      <c r="AA38" s="184"/>
      <c r="AB38" s="184">
        <f t="shared" si="22"/>
        <v>0</v>
      </c>
      <c r="AC38" s="184"/>
      <c r="AD38" s="184"/>
      <c r="AE38" s="184">
        <f t="shared" si="23"/>
        <v>8232</v>
      </c>
      <c r="AF38" s="184">
        <f t="shared" si="24"/>
        <v>3883</v>
      </c>
      <c r="AG38" s="184">
        <f>9694-5811</f>
        <v>3883</v>
      </c>
      <c r="AH38" s="184">
        <v>3883</v>
      </c>
      <c r="AI38" s="185">
        <v>3883</v>
      </c>
      <c r="AJ38" s="184"/>
      <c r="AK38" s="211"/>
      <c r="AL38" s="48">
        <v>3883</v>
      </c>
      <c r="AM38" s="48"/>
      <c r="AN38" s="48"/>
      <c r="AO38" s="48"/>
      <c r="AP38" s="183">
        <f t="shared" si="25"/>
        <v>3883</v>
      </c>
      <c r="AQ38" s="274">
        <v>3883</v>
      </c>
    </row>
    <row r="39" spans="1:45" ht="45" customHeight="1" x14ac:dyDescent="1.1000000000000001">
      <c r="A39" s="54" t="s">
        <v>411</v>
      </c>
      <c r="B39" s="43" t="s">
        <v>412</v>
      </c>
      <c r="C39" s="59" t="s">
        <v>413</v>
      </c>
      <c r="D39" s="42" t="s">
        <v>387</v>
      </c>
      <c r="E39" s="42" t="s">
        <v>392</v>
      </c>
      <c r="F39" s="56" t="s">
        <v>414</v>
      </c>
      <c r="G39" s="56" t="s">
        <v>415</v>
      </c>
      <c r="H39" s="183">
        <v>9487.9419485487142</v>
      </c>
      <c r="I39" s="184">
        <v>0</v>
      </c>
      <c r="J39" s="184">
        <v>0</v>
      </c>
      <c r="K39" s="184">
        <v>0</v>
      </c>
      <c r="L39" s="184">
        <v>2957.9419485487138</v>
      </c>
      <c r="M39" s="184">
        <v>0</v>
      </c>
      <c r="N39" s="184">
        <f>SUM(J39:M39)</f>
        <v>2957.9419485487138</v>
      </c>
      <c r="O39" s="184">
        <v>2330</v>
      </c>
      <c r="P39" s="184"/>
      <c r="Q39" s="184"/>
      <c r="R39" s="184"/>
      <c r="S39" s="184">
        <f t="shared" si="19"/>
        <v>0</v>
      </c>
      <c r="T39" s="184"/>
      <c r="U39" s="184"/>
      <c r="V39" s="184"/>
      <c r="W39" s="184">
        <f t="shared" si="20"/>
        <v>0</v>
      </c>
      <c r="X39" s="185">
        <f t="shared" si="21"/>
        <v>2330</v>
      </c>
      <c r="Y39" s="184">
        <v>0</v>
      </c>
      <c r="Z39" s="184">
        <v>0</v>
      </c>
      <c r="AA39" s="184"/>
      <c r="AB39" s="184">
        <f t="shared" si="22"/>
        <v>0</v>
      </c>
      <c r="AC39" s="184"/>
      <c r="AD39" s="184"/>
      <c r="AE39" s="184">
        <f t="shared" si="23"/>
        <v>5287.9419485487142</v>
      </c>
      <c r="AF39" s="184">
        <f t="shared" si="24"/>
        <v>4200</v>
      </c>
      <c r="AG39" s="184">
        <v>4200</v>
      </c>
      <c r="AH39" s="184">
        <v>4200</v>
      </c>
      <c r="AI39" s="185">
        <v>4200</v>
      </c>
      <c r="AJ39" s="184"/>
      <c r="AK39" s="48">
        <v>1050</v>
      </c>
      <c r="AL39" s="48">
        <v>1050</v>
      </c>
      <c r="AM39" s="48">
        <v>1050</v>
      </c>
      <c r="AN39" s="48">
        <v>1050</v>
      </c>
      <c r="AO39" s="48"/>
      <c r="AP39" s="183">
        <f t="shared" si="25"/>
        <v>4200</v>
      </c>
      <c r="AQ39" s="274">
        <v>4200</v>
      </c>
    </row>
    <row r="40" spans="1:45" s="61" customFormat="1" ht="45" customHeight="1" x14ac:dyDescent="1.1000000000000001">
      <c r="A40" s="179" t="s">
        <v>416</v>
      </c>
      <c r="B40" s="200" t="s">
        <v>412</v>
      </c>
      <c r="C40" s="179" t="s">
        <v>417</v>
      </c>
      <c r="D40" s="183" t="s">
        <v>418</v>
      </c>
      <c r="E40" s="183"/>
      <c r="F40" s="183" t="s">
        <v>419</v>
      </c>
      <c r="G40" s="183" t="s">
        <v>420</v>
      </c>
      <c r="H40" s="183">
        <v>10000</v>
      </c>
      <c r="I40" s="184">
        <v>0</v>
      </c>
      <c r="J40" s="184">
        <v>0</v>
      </c>
      <c r="K40" s="184">
        <v>0</v>
      </c>
      <c r="L40" s="184">
        <v>0</v>
      </c>
      <c r="M40" s="184">
        <v>10000</v>
      </c>
      <c r="N40" s="184">
        <f>SUM(J40:M40)</f>
        <v>10000</v>
      </c>
      <c r="O40" s="184"/>
      <c r="P40" s="184"/>
      <c r="Q40" s="184"/>
      <c r="R40" s="184"/>
      <c r="S40" s="184">
        <f t="shared" si="19"/>
        <v>0</v>
      </c>
      <c r="T40" s="184"/>
      <c r="U40" s="184"/>
      <c r="V40" s="184"/>
      <c r="W40" s="184">
        <f t="shared" si="20"/>
        <v>0</v>
      </c>
      <c r="X40" s="185">
        <f t="shared" si="21"/>
        <v>0</v>
      </c>
      <c r="Y40" s="184">
        <v>0</v>
      </c>
      <c r="Z40" s="184">
        <v>0</v>
      </c>
      <c r="AA40" s="184"/>
      <c r="AB40" s="184">
        <f t="shared" si="22"/>
        <v>0</v>
      </c>
      <c r="AC40" s="184"/>
      <c r="AD40" s="184"/>
      <c r="AE40" s="184">
        <f t="shared" si="23"/>
        <v>10000</v>
      </c>
      <c r="AF40" s="184">
        <f t="shared" si="24"/>
        <v>0</v>
      </c>
      <c r="AG40" s="184"/>
      <c r="AH40" s="184"/>
      <c r="AI40" s="185"/>
      <c r="AJ40" s="184"/>
      <c r="AK40" s="48"/>
      <c r="AL40" s="48"/>
      <c r="AM40" s="48"/>
      <c r="AN40" s="48"/>
      <c r="AO40" s="48"/>
      <c r="AP40" s="183">
        <f t="shared" si="25"/>
        <v>0</v>
      </c>
      <c r="AQ40" s="268"/>
      <c r="AR40" s="285"/>
      <c r="AS40" s="285"/>
    </row>
    <row r="41" spans="1:45" ht="45" customHeight="1" x14ac:dyDescent="0.8">
      <c r="A41" s="327" t="s">
        <v>421</v>
      </c>
      <c r="B41" s="327"/>
      <c r="C41" s="327"/>
      <c r="D41" s="327"/>
      <c r="E41" s="327"/>
      <c r="F41" s="327"/>
      <c r="G41" s="327"/>
      <c r="H41" s="62">
        <v>39285.253056326408</v>
      </c>
      <c r="I41" s="62">
        <f t="shared" ref="I41:W41" si="26">SUM(I34:I40)</f>
        <v>0</v>
      </c>
      <c r="J41" s="62">
        <f t="shared" si="26"/>
        <v>3224</v>
      </c>
      <c r="K41" s="62">
        <f t="shared" si="26"/>
        <v>0</v>
      </c>
      <c r="L41" s="62">
        <f t="shared" si="26"/>
        <v>5402.2530563264081</v>
      </c>
      <c r="M41" s="62">
        <f t="shared" si="26"/>
        <v>10000</v>
      </c>
      <c r="N41" s="62">
        <f t="shared" si="26"/>
        <v>18626.253056326408</v>
      </c>
      <c r="O41" s="62">
        <f t="shared" si="26"/>
        <v>2600</v>
      </c>
      <c r="P41" s="62">
        <f t="shared" si="26"/>
        <v>7470</v>
      </c>
      <c r="Q41" s="62">
        <f t="shared" si="26"/>
        <v>0</v>
      </c>
      <c r="R41" s="62">
        <f t="shared" si="26"/>
        <v>1222</v>
      </c>
      <c r="S41" s="62">
        <f t="shared" si="26"/>
        <v>1222</v>
      </c>
      <c r="T41" s="62">
        <f t="shared" si="26"/>
        <v>0</v>
      </c>
      <c r="U41" s="62">
        <f t="shared" si="26"/>
        <v>1284</v>
      </c>
      <c r="V41" s="62">
        <f t="shared" si="26"/>
        <v>0</v>
      </c>
      <c r="W41" s="62">
        <f t="shared" si="26"/>
        <v>1284</v>
      </c>
      <c r="X41" s="62">
        <f t="shared" si="21"/>
        <v>12576</v>
      </c>
      <c r="Y41" s="63">
        <v>0</v>
      </c>
      <c r="Z41" s="63">
        <v>0</v>
      </c>
      <c r="AA41" s="62">
        <f t="shared" ref="AA41:AQ41" si="27">SUM(AA34:AA40)</f>
        <v>0</v>
      </c>
      <c r="AB41" s="62">
        <f t="shared" si="27"/>
        <v>0</v>
      </c>
      <c r="AC41" s="62">
        <f t="shared" si="27"/>
        <v>0</v>
      </c>
      <c r="AD41" s="62">
        <f t="shared" si="27"/>
        <v>0</v>
      </c>
      <c r="AE41" s="62">
        <f t="shared" si="27"/>
        <v>31202.253056326408</v>
      </c>
      <c r="AF41" s="62">
        <f t="shared" si="27"/>
        <v>8083</v>
      </c>
      <c r="AG41" s="62">
        <f t="shared" si="27"/>
        <v>8083</v>
      </c>
      <c r="AH41" s="212">
        <f t="shared" si="27"/>
        <v>8083</v>
      </c>
      <c r="AI41" s="212">
        <f t="shared" si="27"/>
        <v>8083</v>
      </c>
      <c r="AJ41" s="212">
        <f t="shared" si="27"/>
        <v>0</v>
      </c>
      <c r="AK41" s="212">
        <f t="shared" si="27"/>
        <v>1050</v>
      </c>
      <c r="AL41" s="212">
        <f t="shared" si="27"/>
        <v>4933</v>
      </c>
      <c r="AM41" s="212">
        <f t="shared" si="27"/>
        <v>1050</v>
      </c>
      <c r="AN41" s="212">
        <f t="shared" si="27"/>
        <v>1050</v>
      </c>
      <c r="AO41" s="212">
        <f t="shared" si="27"/>
        <v>0</v>
      </c>
      <c r="AP41" s="212">
        <f t="shared" si="27"/>
        <v>8083</v>
      </c>
      <c r="AQ41" s="284">
        <f t="shared" si="27"/>
        <v>8083</v>
      </c>
    </row>
    <row r="42" spans="1:45" ht="45" customHeight="1" x14ac:dyDescent="0.8">
      <c r="A42" s="246">
        <v>2.2999999999999998</v>
      </c>
      <c r="B42" s="213" t="s">
        <v>422</v>
      </c>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AP42" s="214"/>
      <c r="AQ42" s="283"/>
    </row>
    <row r="43" spans="1:45" ht="45" customHeight="1" x14ac:dyDescent="1.1000000000000001">
      <c r="A43" s="54" t="s">
        <v>423</v>
      </c>
      <c r="B43" s="51" t="s">
        <v>424</v>
      </c>
      <c r="C43" s="42" t="s">
        <v>425</v>
      </c>
      <c r="D43" s="42" t="s">
        <v>426</v>
      </c>
      <c r="E43" s="42" t="s">
        <v>392</v>
      </c>
      <c r="F43" s="56" t="s">
        <v>427</v>
      </c>
      <c r="G43" s="56" t="s">
        <v>428</v>
      </c>
      <c r="H43" s="183">
        <v>34749.263295856203</v>
      </c>
      <c r="I43" s="215">
        <v>0</v>
      </c>
      <c r="J43" s="215">
        <v>10632.558803243885</v>
      </c>
      <c r="K43" s="215">
        <v>0</v>
      </c>
      <c r="L43" s="215">
        <v>10549.189979749493</v>
      </c>
      <c r="M43" s="215">
        <v>3180.5145128628219</v>
      </c>
      <c r="N43" s="184">
        <f>SUM(J43:M43)</f>
        <v>24362.263295856199</v>
      </c>
      <c r="O43" s="188">
        <v>10387</v>
      </c>
      <c r="P43" s="216"/>
      <c r="Q43" s="217"/>
      <c r="R43" s="215"/>
      <c r="S43" s="215">
        <f>Q43+R43</f>
        <v>0</v>
      </c>
      <c r="T43" s="215"/>
      <c r="U43" s="215"/>
      <c r="V43" s="215"/>
      <c r="W43" s="184">
        <f>T43+U43+V43</f>
        <v>0</v>
      </c>
      <c r="X43" s="185">
        <f>W43+S43+P43+O43</f>
        <v>10387</v>
      </c>
      <c r="Y43" s="184">
        <v>0</v>
      </c>
      <c r="Z43" s="184">
        <v>0</v>
      </c>
      <c r="AA43" s="184"/>
      <c r="AB43" s="184">
        <f>Y43+Z43+AA43</f>
        <v>0</v>
      </c>
      <c r="AC43" s="184"/>
      <c r="AD43" s="184"/>
      <c r="AE43" s="184">
        <f>I43+N43+X43+AB43+AC43+AD43</f>
        <v>34749.263295856203</v>
      </c>
      <c r="AF43" s="184">
        <f>H43-(I43+N43+X43+AB43+AC43+AD43)</f>
        <v>0</v>
      </c>
      <c r="AG43" s="184"/>
      <c r="AH43" s="184"/>
      <c r="AI43" s="218"/>
      <c r="AJ43" s="217"/>
      <c r="AK43" s="48"/>
      <c r="AL43" s="48"/>
      <c r="AM43" s="48"/>
      <c r="AN43" s="48"/>
      <c r="AO43" s="48"/>
      <c r="AP43" s="183">
        <f>AJ43+AK43+AL43+AM43+AN43+AO43</f>
        <v>0</v>
      </c>
      <c r="AQ43" s="282"/>
    </row>
    <row r="44" spans="1:45" ht="45" customHeight="1" x14ac:dyDescent="1.1000000000000001">
      <c r="A44" s="54" t="s">
        <v>429</v>
      </c>
      <c r="B44" s="51" t="s">
        <v>430</v>
      </c>
      <c r="C44" s="51" t="s">
        <v>431</v>
      </c>
      <c r="D44" s="42" t="s">
        <v>432</v>
      </c>
      <c r="E44" s="42"/>
      <c r="F44" s="64" t="s">
        <v>433</v>
      </c>
      <c r="G44" s="64" t="s">
        <v>433</v>
      </c>
      <c r="H44" s="183">
        <v>0</v>
      </c>
      <c r="I44" s="187">
        <v>0</v>
      </c>
      <c r="J44" s="184">
        <v>0</v>
      </c>
      <c r="K44" s="184">
        <v>0</v>
      </c>
      <c r="L44" s="184">
        <v>0</v>
      </c>
      <c r="M44" s="184">
        <v>0</v>
      </c>
      <c r="N44" s="184">
        <f>SUM(J44:M44)</f>
        <v>0</v>
      </c>
      <c r="O44" s="219"/>
      <c r="P44" s="219"/>
      <c r="Q44" s="187"/>
      <c r="R44" s="184"/>
      <c r="S44" s="215">
        <f>Q44+R44</f>
        <v>0</v>
      </c>
      <c r="T44" s="184"/>
      <c r="U44" s="184"/>
      <c r="V44" s="184"/>
      <c r="W44" s="184">
        <f>T44+U44+V44</f>
        <v>0</v>
      </c>
      <c r="X44" s="185">
        <f>W44+S44+P44+O44</f>
        <v>0</v>
      </c>
      <c r="Y44" s="184">
        <v>0</v>
      </c>
      <c r="Z44" s="184">
        <v>0</v>
      </c>
      <c r="AA44" s="184"/>
      <c r="AB44" s="184">
        <f>Y44+Z44+AA44</f>
        <v>0</v>
      </c>
      <c r="AC44" s="184"/>
      <c r="AD44" s="184"/>
      <c r="AE44" s="184">
        <f>I44+N44+X44+AB44+AC44+AD44</f>
        <v>0</v>
      </c>
      <c r="AF44" s="184">
        <f>H44-(I44+N44+X44+AB44+AC44+AD44)</f>
        <v>0</v>
      </c>
      <c r="AG44" s="184"/>
      <c r="AH44" s="184"/>
      <c r="AI44" s="183"/>
      <c r="AJ44" s="187"/>
      <c r="AK44" s="48"/>
      <c r="AL44" s="48"/>
      <c r="AM44" s="48"/>
      <c r="AN44" s="48"/>
      <c r="AO44" s="48"/>
      <c r="AP44" s="183">
        <f>AJ44+AK44+AL44+AM44+AN44+AO44</f>
        <v>0</v>
      </c>
      <c r="AQ44" s="282"/>
    </row>
    <row r="45" spans="1:45" ht="45" customHeight="1" x14ac:dyDescent="0.8">
      <c r="A45" s="326" t="s">
        <v>434</v>
      </c>
      <c r="B45" s="326"/>
      <c r="C45" s="326"/>
      <c r="D45" s="326"/>
      <c r="E45" s="326"/>
      <c r="F45" s="326"/>
      <c r="G45" s="326"/>
      <c r="H45" s="65">
        <v>34749.263295856203</v>
      </c>
      <c r="I45" s="65">
        <f t="shared" ref="I45:W45" si="28">SUM(I43:I44)</f>
        <v>0</v>
      </c>
      <c r="J45" s="65">
        <f t="shared" si="28"/>
        <v>10632.558803243885</v>
      </c>
      <c r="K45" s="65">
        <f t="shared" si="28"/>
        <v>0</v>
      </c>
      <c r="L45" s="65">
        <f t="shared" si="28"/>
        <v>10549.189979749493</v>
      </c>
      <c r="M45" s="65">
        <f t="shared" si="28"/>
        <v>3180.5145128628219</v>
      </c>
      <c r="N45" s="65">
        <f t="shared" si="28"/>
        <v>24362.263295856199</v>
      </c>
      <c r="O45" s="65">
        <f t="shared" si="28"/>
        <v>10387</v>
      </c>
      <c r="P45" s="65">
        <f t="shared" si="28"/>
        <v>0</v>
      </c>
      <c r="Q45" s="65">
        <f t="shared" si="28"/>
        <v>0</v>
      </c>
      <c r="R45" s="65">
        <f t="shared" si="28"/>
        <v>0</v>
      </c>
      <c r="S45" s="65">
        <f t="shared" si="28"/>
        <v>0</v>
      </c>
      <c r="T45" s="65">
        <f t="shared" si="28"/>
        <v>0</v>
      </c>
      <c r="U45" s="65">
        <f t="shared" si="28"/>
        <v>0</v>
      </c>
      <c r="V45" s="65">
        <f t="shared" si="28"/>
        <v>0</v>
      </c>
      <c r="W45" s="65">
        <f t="shared" si="28"/>
        <v>0</v>
      </c>
      <c r="X45" s="65">
        <f>W45+S45+P45+O45</f>
        <v>10387</v>
      </c>
      <c r="Y45" s="65">
        <f t="shared" ref="Y45:AQ45" si="29">SUM(Y43:Y44)</f>
        <v>0</v>
      </c>
      <c r="Z45" s="65">
        <f t="shared" si="29"/>
        <v>0</v>
      </c>
      <c r="AA45" s="65">
        <f t="shared" si="29"/>
        <v>0</v>
      </c>
      <c r="AB45" s="65">
        <f t="shared" si="29"/>
        <v>0</v>
      </c>
      <c r="AC45" s="65">
        <f t="shared" si="29"/>
        <v>0</v>
      </c>
      <c r="AD45" s="65">
        <f t="shared" si="29"/>
        <v>0</v>
      </c>
      <c r="AE45" s="65">
        <f t="shared" si="29"/>
        <v>34749.263295856203</v>
      </c>
      <c r="AF45" s="65">
        <f t="shared" si="29"/>
        <v>0</v>
      </c>
      <c r="AG45" s="65">
        <f t="shared" si="29"/>
        <v>0</v>
      </c>
      <c r="AH45" s="65">
        <f t="shared" si="29"/>
        <v>0</v>
      </c>
      <c r="AI45" s="65">
        <f t="shared" si="29"/>
        <v>0</v>
      </c>
      <c r="AJ45" s="65">
        <f t="shared" si="29"/>
        <v>0</v>
      </c>
      <c r="AK45" s="65">
        <f t="shared" si="29"/>
        <v>0</v>
      </c>
      <c r="AL45" s="65">
        <f t="shared" si="29"/>
        <v>0</v>
      </c>
      <c r="AM45" s="65">
        <f t="shared" si="29"/>
        <v>0</v>
      </c>
      <c r="AN45" s="65">
        <f t="shared" si="29"/>
        <v>0</v>
      </c>
      <c r="AO45" s="65">
        <f t="shared" si="29"/>
        <v>0</v>
      </c>
      <c r="AP45" s="65">
        <f t="shared" si="29"/>
        <v>0</v>
      </c>
      <c r="AQ45" s="267">
        <f t="shared" si="29"/>
        <v>0</v>
      </c>
    </row>
    <row r="46" spans="1:45" s="50" customFormat="1" ht="45" customHeight="1" x14ac:dyDescent="0.8">
      <c r="A46" s="334" t="s">
        <v>435</v>
      </c>
      <c r="B46" s="334"/>
      <c r="C46" s="334"/>
      <c r="D46" s="334"/>
      <c r="E46" s="334" t="s">
        <v>435</v>
      </c>
      <c r="F46" s="334"/>
      <c r="G46" s="334"/>
      <c r="H46" s="37">
        <v>1160115.1012062591</v>
      </c>
      <c r="I46" s="37">
        <f t="shared" ref="I46:AQ46" si="30">I32+I41+I45</f>
        <v>89924.939691113424</v>
      </c>
      <c r="J46" s="37">
        <f t="shared" si="30"/>
        <v>148652.29487908623</v>
      </c>
      <c r="K46" s="37">
        <f t="shared" si="30"/>
        <v>21446.88869721743</v>
      </c>
      <c r="L46" s="37">
        <f t="shared" si="30"/>
        <v>154260.04782783918</v>
      </c>
      <c r="M46" s="37">
        <f t="shared" si="30"/>
        <v>35143.440111002776</v>
      </c>
      <c r="N46" s="37">
        <f t="shared" si="30"/>
        <v>359502.67151514563</v>
      </c>
      <c r="O46" s="37">
        <f t="shared" si="30"/>
        <v>94754</v>
      </c>
      <c r="P46" s="37">
        <f t="shared" si="30"/>
        <v>60559</v>
      </c>
      <c r="Q46" s="37">
        <f t="shared" si="30"/>
        <v>55831.43</v>
      </c>
      <c r="R46" s="37">
        <f t="shared" si="30"/>
        <v>92464</v>
      </c>
      <c r="S46" s="37">
        <f t="shared" si="30"/>
        <v>148295.43</v>
      </c>
      <c r="T46" s="37">
        <f t="shared" si="30"/>
        <v>4041</v>
      </c>
      <c r="U46" s="37">
        <f t="shared" si="30"/>
        <v>22226</v>
      </c>
      <c r="V46" s="37">
        <f t="shared" si="30"/>
        <v>990</v>
      </c>
      <c r="W46" s="37">
        <f t="shared" si="30"/>
        <v>27257</v>
      </c>
      <c r="X46" s="37">
        <f t="shared" si="30"/>
        <v>330865.43</v>
      </c>
      <c r="Y46" s="37">
        <f t="shared" si="30"/>
        <v>41896</v>
      </c>
      <c r="Z46" s="37">
        <f t="shared" si="30"/>
        <v>18310.27</v>
      </c>
      <c r="AA46" s="37">
        <f t="shared" si="30"/>
        <v>21572.920755999097</v>
      </c>
      <c r="AB46" s="37">
        <f t="shared" si="30"/>
        <v>81779.190755999109</v>
      </c>
      <c r="AC46" s="37">
        <f t="shared" si="30"/>
        <v>29394.332131960087</v>
      </c>
      <c r="AD46" s="37">
        <f t="shared" si="30"/>
        <v>14777.2622813212</v>
      </c>
      <c r="AE46" s="37">
        <f t="shared" si="30"/>
        <v>906243.82637553941</v>
      </c>
      <c r="AF46" s="37">
        <f t="shared" si="30"/>
        <v>253871.27483071963</v>
      </c>
      <c r="AG46" s="37">
        <f t="shared" si="30"/>
        <v>319623</v>
      </c>
      <c r="AH46" s="37">
        <f t="shared" si="30"/>
        <v>320918</v>
      </c>
      <c r="AI46" s="37">
        <f t="shared" si="30"/>
        <v>320918</v>
      </c>
      <c r="AJ46" s="37">
        <f t="shared" si="30"/>
        <v>0</v>
      </c>
      <c r="AK46" s="37">
        <f t="shared" si="30"/>
        <v>55925</v>
      </c>
      <c r="AL46" s="37">
        <f t="shared" si="30"/>
        <v>87735</v>
      </c>
      <c r="AM46" s="37">
        <f t="shared" si="30"/>
        <v>88349</v>
      </c>
      <c r="AN46" s="37">
        <f t="shared" si="30"/>
        <v>23350</v>
      </c>
      <c r="AO46" s="37">
        <f t="shared" si="30"/>
        <v>65559</v>
      </c>
      <c r="AP46" s="37">
        <f t="shared" si="30"/>
        <v>320918</v>
      </c>
      <c r="AQ46" s="281">
        <f t="shared" si="30"/>
        <v>255889</v>
      </c>
      <c r="AR46" s="280"/>
      <c r="AS46" s="280"/>
    </row>
    <row r="47" spans="1:45" ht="51" customHeight="1" x14ac:dyDescent="0.8">
      <c r="A47" s="220" t="s">
        <v>436</v>
      </c>
      <c r="B47" s="221"/>
      <c r="C47" s="221"/>
      <c r="D47" s="221"/>
      <c r="E47" s="221"/>
      <c r="F47" s="221"/>
      <c r="G47" s="221"/>
      <c r="H47" s="221"/>
      <c r="I47" s="221"/>
      <c r="J47" s="221"/>
      <c r="K47" s="221"/>
      <c r="L47" s="221"/>
      <c r="M47" s="221"/>
      <c r="N47" s="221"/>
      <c r="O47" s="221"/>
      <c r="P47" s="221"/>
      <c r="Q47" s="221"/>
      <c r="R47" s="221"/>
      <c r="S47" s="221"/>
      <c r="T47" s="221"/>
      <c r="U47" s="221"/>
      <c r="V47" s="221"/>
      <c r="W47" s="221"/>
      <c r="X47" s="221"/>
      <c r="Y47" s="221"/>
      <c r="Z47" s="221"/>
      <c r="AA47" s="221"/>
      <c r="AB47" s="221"/>
      <c r="AC47" s="221"/>
      <c r="AD47" s="221"/>
      <c r="AE47" s="221"/>
      <c r="AF47" s="221"/>
      <c r="AG47" s="221"/>
      <c r="AH47" s="221"/>
      <c r="AI47" s="221"/>
      <c r="AJ47" s="221"/>
      <c r="AK47" s="221"/>
      <c r="AL47" s="221"/>
      <c r="AM47" s="221"/>
      <c r="AN47" s="221"/>
      <c r="AO47" s="221"/>
      <c r="AP47" s="221"/>
      <c r="AQ47" s="279"/>
    </row>
    <row r="48" spans="1:45" ht="45" customHeight="1" x14ac:dyDescent="0.8">
      <c r="A48" s="66">
        <v>3.1</v>
      </c>
      <c r="B48" s="335" t="s">
        <v>437</v>
      </c>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336"/>
      <c r="AA48" s="336"/>
      <c r="AB48" s="336"/>
      <c r="AC48" s="336"/>
      <c r="AD48" s="336"/>
      <c r="AE48" s="336"/>
      <c r="AF48" s="336"/>
      <c r="AG48" s="336"/>
      <c r="AH48" s="222"/>
      <c r="AI48" s="222"/>
      <c r="AJ48" s="222"/>
      <c r="AK48" s="222"/>
      <c r="AL48" s="222"/>
      <c r="AM48" s="222"/>
      <c r="AN48" s="222"/>
      <c r="AO48" s="222"/>
      <c r="AP48" s="222"/>
      <c r="AQ48" s="272"/>
    </row>
    <row r="49" spans="1:46" ht="45" customHeight="1" x14ac:dyDescent="1.1000000000000001">
      <c r="A49" s="54" t="s">
        <v>438</v>
      </c>
      <c r="B49" s="67" t="s">
        <v>439</v>
      </c>
      <c r="C49" s="68" t="s">
        <v>440</v>
      </c>
      <c r="D49" s="42" t="s">
        <v>441</v>
      </c>
      <c r="E49" s="42" t="s">
        <v>442</v>
      </c>
      <c r="F49" s="60" t="s">
        <v>443</v>
      </c>
      <c r="G49" s="60" t="s">
        <v>444</v>
      </c>
      <c r="H49" s="183">
        <v>0</v>
      </c>
      <c r="I49" s="187">
        <v>0</v>
      </c>
      <c r="J49" s="184">
        <v>0</v>
      </c>
      <c r="K49" s="184">
        <v>0</v>
      </c>
      <c r="L49" s="184">
        <v>0</v>
      </c>
      <c r="M49" s="184">
        <v>0</v>
      </c>
      <c r="N49" s="184">
        <f>SUM(J49:M49)</f>
        <v>0</v>
      </c>
      <c r="O49" s="185"/>
      <c r="P49" s="185"/>
      <c r="Q49" s="187"/>
      <c r="R49" s="184"/>
      <c r="S49" s="184">
        <f t="shared" ref="S49:S77" si="31">Q49+R49</f>
        <v>0</v>
      </c>
      <c r="T49" s="184"/>
      <c r="U49" s="184"/>
      <c r="V49" s="184"/>
      <c r="W49" s="184">
        <f t="shared" ref="W49:W77" si="32">T49+U49+V49</f>
        <v>0</v>
      </c>
      <c r="X49" s="185">
        <f t="shared" ref="X49:X78" si="33">W49+S49+P49+O49</f>
        <v>0</v>
      </c>
      <c r="Y49" s="184">
        <v>0</v>
      </c>
      <c r="Z49" s="184">
        <v>0</v>
      </c>
      <c r="AA49" s="184"/>
      <c r="AB49" s="184">
        <f t="shared" ref="AB49:AB77" si="34">Y49+Z49+AA49</f>
        <v>0</v>
      </c>
      <c r="AC49" s="184"/>
      <c r="AD49" s="184"/>
      <c r="AE49" s="184">
        <f t="shared" ref="AE49:AE77" si="35">I49+N49+X49+AB49+AC49+AD49</f>
        <v>0</v>
      </c>
      <c r="AF49" s="184">
        <f t="shared" ref="AF49:AF77" si="36">H49-(I49+N49+X49+AB49+AC49+AD49)</f>
        <v>0</v>
      </c>
      <c r="AG49" s="184"/>
      <c r="AH49" s="185"/>
      <c r="AI49" s="28"/>
      <c r="AJ49" s="23"/>
      <c r="AK49" s="23"/>
      <c r="AL49" s="23"/>
      <c r="AM49" s="23"/>
      <c r="AN49" s="23"/>
      <c r="AO49" s="23"/>
      <c r="AP49" s="24">
        <f t="shared" ref="AP49:AP71" si="37">AJ49+AK49+AL49+AM49+AN49+AO49</f>
        <v>0</v>
      </c>
      <c r="AQ49" s="274"/>
    </row>
    <row r="50" spans="1:46" ht="45" customHeight="1" x14ac:dyDescent="1.1000000000000001">
      <c r="A50" s="54" t="s">
        <v>445</v>
      </c>
      <c r="B50" s="54" t="s">
        <v>446</v>
      </c>
      <c r="C50" s="42"/>
      <c r="D50" s="42"/>
      <c r="E50" s="42"/>
      <c r="F50" s="60"/>
      <c r="G50" s="60"/>
      <c r="H50" s="183">
        <v>270890</v>
      </c>
      <c r="I50" s="187">
        <v>110740</v>
      </c>
      <c r="J50" s="184">
        <v>83055</v>
      </c>
      <c r="K50" s="184">
        <v>0</v>
      </c>
      <c r="L50" s="184">
        <v>0</v>
      </c>
      <c r="M50" s="184">
        <v>0</v>
      </c>
      <c r="N50" s="184">
        <f>SUM(J50:M50)</f>
        <v>83055</v>
      </c>
      <c r="O50" s="187">
        <v>77095</v>
      </c>
      <c r="P50" s="184"/>
      <c r="Q50" s="187"/>
      <c r="R50" s="184"/>
      <c r="S50" s="184">
        <f t="shared" si="31"/>
        <v>0</v>
      </c>
      <c r="T50" s="184"/>
      <c r="U50" s="184"/>
      <c r="V50" s="184"/>
      <c r="W50" s="184">
        <f t="shared" si="32"/>
        <v>0</v>
      </c>
      <c r="X50" s="185">
        <f t="shared" si="33"/>
        <v>77095</v>
      </c>
      <c r="Y50" s="184">
        <v>0</v>
      </c>
      <c r="Z50" s="184">
        <v>0</v>
      </c>
      <c r="AA50" s="184"/>
      <c r="AB50" s="184">
        <f t="shared" si="34"/>
        <v>0</v>
      </c>
      <c r="AC50" s="184"/>
      <c r="AD50" s="184"/>
      <c r="AE50" s="184">
        <f t="shared" si="35"/>
        <v>270890</v>
      </c>
      <c r="AF50" s="184">
        <f t="shared" si="36"/>
        <v>0</v>
      </c>
      <c r="AG50" s="184"/>
      <c r="AH50" s="184"/>
      <c r="AI50" s="24"/>
      <c r="AJ50" s="24"/>
      <c r="AK50" s="23"/>
      <c r="AL50" s="23"/>
      <c r="AM50" s="23"/>
      <c r="AN50" s="23"/>
      <c r="AO50" s="23"/>
      <c r="AP50" s="24">
        <f t="shared" si="37"/>
        <v>0</v>
      </c>
      <c r="AQ50" s="274"/>
    </row>
    <row r="51" spans="1:46" ht="45" customHeight="1" x14ac:dyDescent="1.1000000000000001">
      <c r="A51" s="54" t="s">
        <v>447</v>
      </c>
      <c r="B51" s="54" t="s">
        <v>448</v>
      </c>
      <c r="C51" s="42"/>
      <c r="D51" s="42"/>
      <c r="E51" s="42"/>
      <c r="F51" s="60"/>
      <c r="G51" s="60"/>
      <c r="H51" s="183">
        <v>248084</v>
      </c>
      <c r="I51" s="187"/>
      <c r="J51" s="184">
        <v>0</v>
      </c>
      <c r="K51" s="184">
        <v>0</v>
      </c>
      <c r="L51" s="184">
        <v>0</v>
      </c>
      <c r="M51" s="184">
        <v>0</v>
      </c>
      <c r="N51" s="184">
        <f>SUM(J51:M51)</f>
        <v>0</v>
      </c>
      <c r="O51" s="184"/>
      <c r="P51" s="184">
        <v>173898</v>
      </c>
      <c r="Q51" s="187">
        <v>74186</v>
      </c>
      <c r="R51" s="184"/>
      <c r="S51" s="184">
        <f t="shared" si="31"/>
        <v>74186</v>
      </c>
      <c r="T51" s="184"/>
      <c r="U51" s="184"/>
      <c r="V51" s="184"/>
      <c r="W51" s="184">
        <f t="shared" si="32"/>
        <v>0</v>
      </c>
      <c r="X51" s="185">
        <f t="shared" si="33"/>
        <v>248084</v>
      </c>
      <c r="Y51" s="184">
        <v>0</v>
      </c>
      <c r="Z51" s="184">
        <v>0</v>
      </c>
      <c r="AA51" s="184"/>
      <c r="AB51" s="184">
        <f t="shared" si="34"/>
        <v>0</v>
      </c>
      <c r="AC51" s="184"/>
      <c r="AD51" s="184"/>
      <c r="AE51" s="184">
        <f t="shared" si="35"/>
        <v>248084</v>
      </c>
      <c r="AF51" s="184">
        <f t="shared" si="36"/>
        <v>0</v>
      </c>
      <c r="AG51" s="184"/>
      <c r="AH51" s="184"/>
      <c r="AI51" s="24"/>
      <c r="AJ51" s="24"/>
      <c r="AK51" s="23"/>
      <c r="AL51" s="23"/>
      <c r="AM51" s="23"/>
      <c r="AN51" s="23"/>
      <c r="AO51" s="23"/>
      <c r="AP51" s="24">
        <f t="shared" si="37"/>
        <v>0</v>
      </c>
      <c r="AQ51" s="274"/>
    </row>
    <row r="52" spans="1:46" ht="45" customHeight="1" x14ac:dyDescent="1.1000000000000001">
      <c r="A52" s="54" t="s">
        <v>447</v>
      </c>
      <c r="B52" s="54" t="s">
        <v>449</v>
      </c>
      <c r="C52" s="42" t="s">
        <v>450</v>
      </c>
      <c r="D52" s="42" t="s">
        <v>451</v>
      </c>
      <c r="E52" s="42" t="s">
        <v>452</v>
      </c>
      <c r="F52" s="69" t="s">
        <v>453</v>
      </c>
      <c r="G52" s="60" t="s">
        <v>454</v>
      </c>
      <c r="H52" s="183">
        <v>370460</v>
      </c>
      <c r="I52" s="187"/>
      <c r="J52" s="184">
        <v>0</v>
      </c>
      <c r="K52" s="184">
        <v>0</v>
      </c>
      <c r="L52" s="184">
        <v>0</v>
      </c>
      <c r="M52" s="184">
        <v>0</v>
      </c>
      <c r="N52" s="184">
        <f>SUM(J52:M52)</f>
        <v>0</v>
      </c>
      <c r="O52" s="184"/>
      <c r="P52" s="184"/>
      <c r="Q52" s="184"/>
      <c r="R52" s="184"/>
      <c r="S52" s="184">
        <f t="shared" si="31"/>
        <v>0</v>
      </c>
      <c r="T52" s="184"/>
      <c r="U52" s="184"/>
      <c r="V52" s="184"/>
      <c r="W52" s="184">
        <f t="shared" si="32"/>
        <v>0</v>
      </c>
      <c r="X52" s="185">
        <f t="shared" si="33"/>
        <v>0</v>
      </c>
      <c r="Y52" s="184">
        <v>0</v>
      </c>
      <c r="Z52" s="184">
        <v>0</v>
      </c>
      <c r="AA52" s="184"/>
      <c r="AB52" s="184">
        <f t="shared" si="34"/>
        <v>0</v>
      </c>
      <c r="AC52" s="184">
        <v>148184</v>
      </c>
      <c r="AD52" s="184"/>
      <c r="AE52" s="184">
        <f t="shared" si="35"/>
        <v>148184</v>
      </c>
      <c r="AF52" s="184">
        <f t="shared" si="36"/>
        <v>222276</v>
      </c>
      <c r="AG52" s="184">
        <v>370460</v>
      </c>
      <c r="AH52" s="21">
        <v>370460</v>
      </c>
      <c r="AI52" s="28">
        <v>370460</v>
      </c>
      <c r="AJ52" s="70"/>
      <c r="AK52" s="70">
        <v>370460</v>
      </c>
      <c r="AL52" s="23"/>
      <c r="AM52" s="23"/>
      <c r="AN52" s="23"/>
      <c r="AO52" s="23"/>
      <c r="AP52" s="24">
        <f t="shared" si="37"/>
        <v>370460</v>
      </c>
      <c r="AQ52" s="274">
        <v>222276</v>
      </c>
    </row>
    <row r="53" spans="1:46" ht="45" customHeight="1" x14ac:dyDescent="1.1000000000000001">
      <c r="A53" s="54" t="s">
        <v>447</v>
      </c>
      <c r="B53" s="54" t="s">
        <v>449</v>
      </c>
      <c r="C53" s="42"/>
      <c r="D53" s="42"/>
      <c r="E53" s="42"/>
      <c r="F53" s="69"/>
      <c r="G53" s="60"/>
      <c r="H53" s="183">
        <v>0</v>
      </c>
      <c r="I53" s="187"/>
      <c r="J53" s="184"/>
      <c r="K53" s="184"/>
      <c r="L53" s="184"/>
      <c r="M53" s="184"/>
      <c r="N53" s="184"/>
      <c r="O53" s="184"/>
      <c r="P53" s="184"/>
      <c r="Q53" s="184"/>
      <c r="R53" s="184"/>
      <c r="S53" s="184">
        <f t="shared" si="31"/>
        <v>0</v>
      </c>
      <c r="T53" s="184"/>
      <c r="U53" s="184"/>
      <c r="V53" s="184"/>
      <c r="W53" s="184">
        <f t="shared" si="32"/>
        <v>0</v>
      </c>
      <c r="X53" s="185">
        <f t="shared" si="33"/>
        <v>0</v>
      </c>
      <c r="Y53" s="184">
        <v>0</v>
      </c>
      <c r="Z53" s="184">
        <v>0</v>
      </c>
      <c r="AA53" s="184"/>
      <c r="AB53" s="184">
        <f t="shared" si="34"/>
        <v>0</v>
      </c>
      <c r="AC53" s="184"/>
      <c r="AD53" s="184"/>
      <c r="AE53" s="184">
        <f t="shared" si="35"/>
        <v>0</v>
      </c>
      <c r="AF53" s="184">
        <f t="shared" si="36"/>
        <v>0</v>
      </c>
      <c r="AG53" s="184"/>
      <c r="AH53" s="184"/>
      <c r="AI53" s="28"/>
      <c r="AJ53" s="70"/>
      <c r="AK53" s="71"/>
      <c r="AL53" s="23"/>
      <c r="AM53" s="23"/>
      <c r="AN53" s="23"/>
      <c r="AO53" s="23"/>
      <c r="AP53" s="24">
        <f t="shared" si="37"/>
        <v>0</v>
      </c>
      <c r="AQ53" s="274"/>
    </row>
    <row r="54" spans="1:46" ht="45" customHeight="1" x14ac:dyDescent="1.1000000000000001">
      <c r="A54" s="54" t="s">
        <v>445</v>
      </c>
      <c r="B54" s="54" t="s">
        <v>455</v>
      </c>
      <c r="C54" s="42"/>
      <c r="D54" s="42"/>
      <c r="E54" s="42"/>
      <c r="F54" s="69"/>
      <c r="G54" s="60"/>
      <c r="H54" s="183">
        <v>0</v>
      </c>
      <c r="I54" s="187"/>
      <c r="J54" s="184"/>
      <c r="K54" s="184"/>
      <c r="L54" s="184"/>
      <c r="M54" s="184"/>
      <c r="N54" s="184"/>
      <c r="O54" s="184"/>
      <c r="P54" s="184"/>
      <c r="Q54" s="184"/>
      <c r="R54" s="184"/>
      <c r="S54" s="184">
        <f t="shared" si="31"/>
        <v>0</v>
      </c>
      <c r="T54" s="184"/>
      <c r="U54" s="184"/>
      <c r="V54" s="184"/>
      <c r="W54" s="184">
        <f t="shared" si="32"/>
        <v>0</v>
      </c>
      <c r="X54" s="185">
        <f t="shared" si="33"/>
        <v>0</v>
      </c>
      <c r="Y54" s="184">
        <v>0</v>
      </c>
      <c r="Z54" s="184">
        <v>0</v>
      </c>
      <c r="AA54" s="184"/>
      <c r="AB54" s="184">
        <f t="shared" si="34"/>
        <v>0</v>
      </c>
      <c r="AC54" s="184"/>
      <c r="AD54" s="184"/>
      <c r="AE54" s="184">
        <f t="shared" si="35"/>
        <v>0</v>
      </c>
      <c r="AF54" s="184">
        <f t="shared" si="36"/>
        <v>0</v>
      </c>
      <c r="AG54" s="184"/>
      <c r="AH54" s="184"/>
      <c r="AI54" s="28"/>
      <c r="AJ54" s="72"/>
      <c r="AK54" s="71"/>
      <c r="AL54" s="23"/>
      <c r="AM54" s="23"/>
      <c r="AN54" s="23"/>
      <c r="AO54" s="23"/>
      <c r="AP54" s="24">
        <f t="shared" si="37"/>
        <v>0</v>
      </c>
      <c r="AQ54" s="274"/>
    </row>
    <row r="55" spans="1:46" ht="45" customHeight="1" x14ac:dyDescent="1.1000000000000001">
      <c r="A55" s="54" t="s">
        <v>456</v>
      </c>
      <c r="B55" s="54" t="s">
        <v>457</v>
      </c>
      <c r="C55" s="42" t="s">
        <v>458</v>
      </c>
      <c r="D55" s="42"/>
      <c r="E55" s="42"/>
      <c r="F55" s="69"/>
      <c r="G55" s="60"/>
      <c r="H55" s="183">
        <v>21543.451294652412</v>
      </c>
      <c r="I55" s="187">
        <v>4439.4512946524101</v>
      </c>
      <c r="J55" s="184">
        <v>10484</v>
      </c>
      <c r="K55" s="184">
        <v>0</v>
      </c>
      <c r="L55" s="184">
        <v>0</v>
      </c>
      <c r="M55" s="184">
        <v>0</v>
      </c>
      <c r="N55" s="184">
        <f>SUM(J55:M55)</f>
        <v>10484</v>
      </c>
      <c r="O55" s="184">
        <v>4744</v>
      </c>
      <c r="P55" s="184">
        <v>1876</v>
      </c>
      <c r="Q55" s="184"/>
      <c r="R55" s="184"/>
      <c r="S55" s="184">
        <f t="shared" si="31"/>
        <v>0</v>
      </c>
      <c r="T55" s="184"/>
      <c r="U55" s="184"/>
      <c r="V55" s="184"/>
      <c r="W55" s="184">
        <f t="shared" si="32"/>
        <v>0</v>
      </c>
      <c r="X55" s="185">
        <f t="shared" si="33"/>
        <v>6620</v>
      </c>
      <c r="Y55" s="184">
        <v>0</v>
      </c>
      <c r="Z55" s="184">
        <v>0</v>
      </c>
      <c r="AA55" s="184"/>
      <c r="AB55" s="184">
        <f t="shared" si="34"/>
        <v>0</v>
      </c>
      <c r="AC55" s="184"/>
      <c r="AD55" s="184"/>
      <c r="AE55" s="184">
        <f t="shared" si="35"/>
        <v>21543.451294652412</v>
      </c>
      <c r="AF55" s="184">
        <f t="shared" si="36"/>
        <v>0</v>
      </c>
      <c r="AG55" s="184"/>
      <c r="AH55" s="184"/>
      <c r="AI55" s="28"/>
      <c r="AJ55" s="25"/>
      <c r="AK55" s="73"/>
      <c r="AL55" s="23"/>
      <c r="AM55" s="23"/>
      <c r="AN55" s="23"/>
      <c r="AO55" s="23"/>
      <c r="AP55" s="24">
        <f t="shared" si="37"/>
        <v>0</v>
      </c>
      <c r="AQ55" s="274"/>
    </row>
    <row r="56" spans="1:46" ht="45" customHeight="1" x14ac:dyDescent="1.1000000000000001">
      <c r="A56" s="54" t="s">
        <v>459</v>
      </c>
      <c r="B56" s="54" t="s">
        <v>460</v>
      </c>
      <c r="C56" s="42" t="s">
        <v>461</v>
      </c>
      <c r="D56" s="42"/>
      <c r="E56" s="42"/>
      <c r="F56" s="69"/>
      <c r="G56" s="60"/>
      <c r="H56" s="183">
        <v>7113</v>
      </c>
      <c r="I56" s="187"/>
      <c r="J56" s="184"/>
      <c r="K56" s="184"/>
      <c r="L56" s="184"/>
      <c r="M56" s="184"/>
      <c r="N56" s="184"/>
      <c r="O56" s="184"/>
      <c r="P56" s="184"/>
      <c r="Q56" s="184"/>
      <c r="R56" s="184"/>
      <c r="S56" s="184">
        <f t="shared" si="31"/>
        <v>0</v>
      </c>
      <c r="T56" s="184"/>
      <c r="U56" s="184"/>
      <c r="V56" s="184">
        <v>140</v>
      </c>
      <c r="W56" s="184">
        <f t="shared" si="32"/>
        <v>140</v>
      </c>
      <c r="X56" s="185">
        <f t="shared" si="33"/>
        <v>140</v>
      </c>
      <c r="Y56" s="184">
        <v>3764</v>
      </c>
      <c r="Z56" s="184">
        <v>2165</v>
      </c>
      <c r="AA56" s="184"/>
      <c r="AB56" s="184">
        <f t="shared" si="34"/>
        <v>5929</v>
      </c>
      <c r="AC56" s="184"/>
      <c r="AD56" s="184"/>
      <c r="AE56" s="184">
        <f t="shared" si="35"/>
        <v>6069</v>
      </c>
      <c r="AF56" s="184">
        <f t="shared" si="36"/>
        <v>1044</v>
      </c>
      <c r="AG56" s="184">
        <v>1044</v>
      </c>
      <c r="AH56" s="185"/>
      <c r="AI56" s="28"/>
      <c r="AJ56" s="25"/>
      <c r="AK56" s="73"/>
      <c r="AL56" s="23"/>
      <c r="AM56" s="23"/>
      <c r="AN56" s="23"/>
      <c r="AO56" s="23"/>
      <c r="AP56" s="24">
        <f t="shared" si="37"/>
        <v>0</v>
      </c>
      <c r="AQ56" s="274">
        <v>1044</v>
      </c>
      <c r="AT56" s="278"/>
    </row>
    <row r="57" spans="1:46" ht="45" customHeight="1" x14ac:dyDescent="1.1000000000000001">
      <c r="A57" s="54" t="s">
        <v>462</v>
      </c>
      <c r="B57" s="54" t="s">
        <v>463</v>
      </c>
      <c r="C57" s="42" t="s">
        <v>464</v>
      </c>
      <c r="D57" s="42"/>
      <c r="E57" s="42" t="s">
        <v>452</v>
      </c>
      <c r="F57" s="60" t="s">
        <v>465</v>
      </c>
      <c r="G57" s="60" t="s">
        <v>466</v>
      </c>
      <c r="H57" s="183">
        <v>160000</v>
      </c>
      <c r="I57" s="187">
        <v>0</v>
      </c>
      <c r="J57" s="184">
        <v>48000</v>
      </c>
      <c r="K57" s="184">
        <v>80000</v>
      </c>
      <c r="L57" s="184">
        <v>0</v>
      </c>
      <c r="M57" s="184">
        <v>0</v>
      </c>
      <c r="N57" s="184">
        <f>SUM(J57:M57)</f>
        <v>128000</v>
      </c>
      <c r="O57" s="184"/>
      <c r="P57" s="184"/>
      <c r="Q57" s="187">
        <f>32000</f>
        <v>32000</v>
      </c>
      <c r="R57" s="184"/>
      <c r="S57" s="184">
        <f t="shared" si="31"/>
        <v>32000</v>
      </c>
      <c r="T57" s="184"/>
      <c r="U57" s="184"/>
      <c r="V57" s="184"/>
      <c r="W57" s="184">
        <f t="shared" si="32"/>
        <v>0</v>
      </c>
      <c r="X57" s="185">
        <f t="shared" si="33"/>
        <v>32000</v>
      </c>
      <c r="Y57" s="184">
        <v>0</v>
      </c>
      <c r="Z57" s="184">
        <v>0</v>
      </c>
      <c r="AA57" s="184"/>
      <c r="AB57" s="184">
        <f t="shared" si="34"/>
        <v>0</v>
      </c>
      <c r="AC57" s="184"/>
      <c r="AD57" s="184"/>
      <c r="AE57" s="184">
        <f t="shared" si="35"/>
        <v>160000</v>
      </c>
      <c r="AF57" s="184">
        <f t="shared" si="36"/>
        <v>0</v>
      </c>
      <c r="AG57" s="184"/>
      <c r="AH57" s="185"/>
      <c r="AI57" s="28"/>
      <c r="AJ57" s="74"/>
      <c r="AK57" s="23"/>
      <c r="AL57" s="23"/>
      <c r="AM57" s="23"/>
      <c r="AN57" s="23"/>
      <c r="AO57" s="23"/>
      <c r="AP57" s="24">
        <f t="shared" si="37"/>
        <v>0</v>
      </c>
      <c r="AQ57" s="274"/>
    </row>
    <row r="58" spans="1:46" ht="45" customHeight="1" x14ac:dyDescent="1.1000000000000001">
      <c r="A58" s="54" t="s">
        <v>467</v>
      </c>
      <c r="B58" s="54" t="s">
        <v>468</v>
      </c>
      <c r="C58" s="42" t="s">
        <v>464</v>
      </c>
      <c r="D58" s="42"/>
      <c r="E58" s="42"/>
      <c r="F58" s="60"/>
      <c r="G58" s="60"/>
      <c r="H58" s="183">
        <v>0</v>
      </c>
      <c r="I58" s="187">
        <v>0</v>
      </c>
      <c r="J58" s="184"/>
      <c r="K58" s="184"/>
      <c r="L58" s="184">
        <v>0</v>
      </c>
      <c r="M58" s="184">
        <v>0</v>
      </c>
      <c r="N58" s="184"/>
      <c r="O58" s="184"/>
      <c r="P58" s="184"/>
      <c r="Q58" s="187"/>
      <c r="R58" s="184"/>
      <c r="S58" s="184">
        <f t="shared" si="31"/>
        <v>0</v>
      </c>
      <c r="T58" s="184"/>
      <c r="U58" s="184"/>
      <c r="V58" s="184"/>
      <c r="W58" s="184">
        <f t="shared" si="32"/>
        <v>0</v>
      </c>
      <c r="X58" s="185">
        <f t="shared" si="33"/>
        <v>0</v>
      </c>
      <c r="Y58" s="184">
        <v>0</v>
      </c>
      <c r="Z58" s="184">
        <v>0</v>
      </c>
      <c r="AA58" s="184"/>
      <c r="AB58" s="184">
        <f t="shared" si="34"/>
        <v>0</v>
      </c>
      <c r="AC58" s="184"/>
      <c r="AD58" s="184"/>
      <c r="AE58" s="184">
        <f t="shared" si="35"/>
        <v>0</v>
      </c>
      <c r="AF58" s="184">
        <f t="shared" si="36"/>
        <v>0</v>
      </c>
      <c r="AG58" s="184"/>
      <c r="AH58" s="185"/>
      <c r="AI58" s="57"/>
      <c r="AJ58" s="75"/>
      <c r="AK58" s="23"/>
      <c r="AL58" s="23"/>
      <c r="AM58" s="23"/>
      <c r="AN58" s="23"/>
      <c r="AO58" s="23"/>
      <c r="AP58" s="24">
        <f t="shared" si="37"/>
        <v>0</v>
      </c>
      <c r="AQ58" s="274"/>
    </row>
    <row r="59" spans="1:46" ht="45" customHeight="1" x14ac:dyDescent="1.1000000000000001">
      <c r="A59" s="54" t="s">
        <v>469</v>
      </c>
      <c r="B59" s="54" t="s">
        <v>470</v>
      </c>
      <c r="C59" s="42" t="s">
        <v>471</v>
      </c>
      <c r="D59" s="42"/>
      <c r="E59" s="42"/>
      <c r="F59" s="60"/>
      <c r="G59" s="60"/>
      <c r="H59" s="183">
        <v>3952.4047764444476</v>
      </c>
      <c r="I59" s="187">
        <v>0</v>
      </c>
      <c r="J59" s="184">
        <v>3952.4047764444476</v>
      </c>
      <c r="K59" s="184">
        <v>0</v>
      </c>
      <c r="L59" s="184">
        <v>0</v>
      </c>
      <c r="M59" s="184">
        <v>0</v>
      </c>
      <c r="N59" s="184">
        <f t="shared" ref="N59:N71" si="38">SUM(J59:M59)</f>
        <v>3952.4047764444476</v>
      </c>
      <c r="O59" s="184"/>
      <c r="P59" s="184"/>
      <c r="Q59" s="223"/>
      <c r="R59" s="184"/>
      <c r="S59" s="184">
        <f t="shared" si="31"/>
        <v>0</v>
      </c>
      <c r="T59" s="184"/>
      <c r="U59" s="184"/>
      <c r="V59" s="184"/>
      <c r="W59" s="184">
        <f t="shared" si="32"/>
        <v>0</v>
      </c>
      <c r="X59" s="185">
        <f t="shared" si="33"/>
        <v>0</v>
      </c>
      <c r="Y59" s="184">
        <v>0</v>
      </c>
      <c r="Z59" s="184">
        <v>0</v>
      </c>
      <c r="AA59" s="184"/>
      <c r="AB59" s="184">
        <f t="shared" si="34"/>
        <v>0</v>
      </c>
      <c r="AC59" s="184"/>
      <c r="AD59" s="184"/>
      <c r="AE59" s="184">
        <f t="shared" si="35"/>
        <v>3952.4047764444476</v>
      </c>
      <c r="AF59" s="184">
        <f t="shared" si="36"/>
        <v>0</v>
      </c>
      <c r="AG59" s="184"/>
      <c r="AH59" s="185"/>
      <c r="AI59" s="28"/>
      <c r="AJ59" s="24"/>
      <c r="AK59" s="23"/>
      <c r="AL59" s="23"/>
      <c r="AM59" s="23"/>
      <c r="AN59" s="23"/>
      <c r="AO59" s="23"/>
      <c r="AP59" s="24">
        <f t="shared" si="37"/>
        <v>0</v>
      </c>
      <c r="AQ59" s="274"/>
    </row>
    <row r="60" spans="1:46" ht="45" customHeight="1" x14ac:dyDescent="1.1000000000000001">
      <c r="A60" s="54" t="s">
        <v>472</v>
      </c>
      <c r="B60" s="54" t="s">
        <v>473</v>
      </c>
      <c r="C60" s="42" t="s">
        <v>450</v>
      </c>
      <c r="D60" s="42"/>
      <c r="E60" s="42"/>
      <c r="F60" s="60"/>
      <c r="G60" s="60"/>
      <c r="H60" s="183">
        <v>0</v>
      </c>
      <c r="I60" s="187"/>
      <c r="J60" s="184">
        <v>0</v>
      </c>
      <c r="K60" s="184">
        <v>0</v>
      </c>
      <c r="L60" s="184">
        <v>0</v>
      </c>
      <c r="M60" s="184">
        <v>0</v>
      </c>
      <c r="N60" s="184">
        <f t="shared" si="38"/>
        <v>0</v>
      </c>
      <c r="O60" s="184"/>
      <c r="P60" s="184"/>
      <c r="Q60" s="223"/>
      <c r="R60" s="184"/>
      <c r="S60" s="184">
        <f t="shared" si="31"/>
        <v>0</v>
      </c>
      <c r="T60" s="184"/>
      <c r="U60" s="184"/>
      <c r="V60" s="184"/>
      <c r="W60" s="184">
        <f t="shared" si="32"/>
        <v>0</v>
      </c>
      <c r="X60" s="185">
        <f t="shared" si="33"/>
        <v>0</v>
      </c>
      <c r="Y60" s="184">
        <v>0</v>
      </c>
      <c r="Z60" s="184">
        <v>0</v>
      </c>
      <c r="AA60" s="184"/>
      <c r="AB60" s="184">
        <f t="shared" si="34"/>
        <v>0</v>
      </c>
      <c r="AC60" s="184"/>
      <c r="AD60" s="184"/>
      <c r="AE60" s="184">
        <f t="shared" si="35"/>
        <v>0</v>
      </c>
      <c r="AF60" s="184">
        <f t="shared" si="36"/>
        <v>0</v>
      </c>
      <c r="AG60" s="184"/>
      <c r="AH60" s="185"/>
      <c r="AI60" s="76"/>
      <c r="AJ60" s="75"/>
      <c r="AK60" s="23"/>
      <c r="AL60" s="23"/>
      <c r="AM60" s="23"/>
      <c r="AN60" s="23"/>
      <c r="AO60" s="23"/>
      <c r="AP60" s="24">
        <f t="shared" si="37"/>
        <v>0</v>
      </c>
      <c r="AQ60" s="274"/>
    </row>
    <row r="61" spans="1:46" ht="45" customHeight="1" x14ac:dyDescent="1.1000000000000001">
      <c r="A61" s="54"/>
      <c r="B61" s="54" t="s">
        <v>474</v>
      </c>
      <c r="C61" s="42"/>
      <c r="D61" s="42"/>
      <c r="E61" s="42"/>
      <c r="F61" s="60"/>
      <c r="G61" s="60"/>
      <c r="H61" s="183">
        <v>223</v>
      </c>
      <c r="I61" s="187"/>
      <c r="J61" s="184">
        <v>0</v>
      </c>
      <c r="K61" s="184">
        <v>0</v>
      </c>
      <c r="L61" s="184">
        <v>0</v>
      </c>
      <c r="M61" s="184">
        <v>0</v>
      </c>
      <c r="N61" s="184">
        <f t="shared" si="38"/>
        <v>0</v>
      </c>
      <c r="O61" s="184">
        <v>223</v>
      </c>
      <c r="P61" s="184"/>
      <c r="Q61" s="223"/>
      <c r="R61" s="184"/>
      <c r="S61" s="184">
        <f t="shared" si="31"/>
        <v>0</v>
      </c>
      <c r="T61" s="184"/>
      <c r="U61" s="184"/>
      <c r="V61" s="184"/>
      <c r="W61" s="184">
        <f t="shared" si="32"/>
        <v>0</v>
      </c>
      <c r="X61" s="185">
        <f t="shared" si="33"/>
        <v>223</v>
      </c>
      <c r="Y61" s="184">
        <v>0</v>
      </c>
      <c r="Z61" s="184">
        <v>0</v>
      </c>
      <c r="AA61" s="184"/>
      <c r="AB61" s="184">
        <f t="shared" si="34"/>
        <v>0</v>
      </c>
      <c r="AC61" s="184"/>
      <c r="AD61" s="184"/>
      <c r="AE61" s="184">
        <f t="shared" si="35"/>
        <v>223</v>
      </c>
      <c r="AF61" s="184">
        <f t="shared" si="36"/>
        <v>0</v>
      </c>
      <c r="AG61" s="184"/>
      <c r="AH61" s="185"/>
      <c r="AI61" s="28"/>
      <c r="AJ61" s="74"/>
      <c r="AK61" s="23"/>
      <c r="AL61" s="23"/>
      <c r="AM61" s="23"/>
      <c r="AN61" s="23"/>
      <c r="AO61" s="23"/>
      <c r="AP61" s="24">
        <f t="shared" si="37"/>
        <v>0</v>
      </c>
      <c r="AQ61" s="274"/>
    </row>
    <row r="62" spans="1:46" s="78" customFormat="1" ht="45" customHeight="1" x14ac:dyDescent="1.1000000000000001">
      <c r="A62" s="54" t="s">
        <v>475</v>
      </c>
      <c r="B62" s="77" t="s">
        <v>476</v>
      </c>
      <c r="C62" s="42" t="s">
        <v>477</v>
      </c>
      <c r="D62" s="42" t="s">
        <v>478</v>
      </c>
      <c r="E62" s="42" t="s">
        <v>452</v>
      </c>
      <c r="F62" s="60" t="s">
        <v>479</v>
      </c>
      <c r="G62" s="60" t="s">
        <v>480</v>
      </c>
      <c r="H62" s="183">
        <v>119125.15</v>
      </c>
      <c r="I62" s="187">
        <v>40017</v>
      </c>
      <c r="J62" s="184">
        <v>40024</v>
      </c>
      <c r="K62" s="184">
        <v>0</v>
      </c>
      <c r="L62" s="184">
        <v>39084.15</v>
      </c>
      <c r="M62" s="184">
        <v>0</v>
      </c>
      <c r="N62" s="184">
        <f t="shared" si="38"/>
        <v>79108.149999999994</v>
      </c>
      <c r="O62" s="184"/>
      <c r="P62" s="184"/>
      <c r="Q62" s="187"/>
      <c r="R62" s="184"/>
      <c r="S62" s="184">
        <f t="shared" si="31"/>
        <v>0</v>
      </c>
      <c r="T62" s="184"/>
      <c r="U62" s="184"/>
      <c r="V62" s="184"/>
      <c r="W62" s="184">
        <f t="shared" si="32"/>
        <v>0</v>
      </c>
      <c r="X62" s="185">
        <f t="shared" si="33"/>
        <v>0</v>
      </c>
      <c r="Y62" s="184">
        <v>0</v>
      </c>
      <c r="Z62" s="184">
        <v>0</v>
      </c>
      <c r="AA62" s="184"/>
      <c r="AB62" s="184">
        <f t="shared" si="34"/>
        <v>0</v>
      </c>
      <c r="AC62" s="184"/>
      <c r="AD62" s="184"/>
      <c r="AE62" s="184">
        <f t="shared" si="35"/>
        <v>119125.15</v>
      </c>
      <c r="AF62" s="184">
        <f t="shared" si="36"/>
        <v>0</v>
      </c>
      <c r="AG62" s="184"/>
      <c r="AH62" s="185"/>
      <c r="AI62" s="24"/>
      <c r="AJ62" s="24"/>
      <c r="AK62" s="23"/>
      <c r="AL62" s="23"/>
      <c r="AM62" s="23"/>
      <c r="AN62" s="23"/>
      <c r="AO62" s="23"/>
      <c r="AP62" s="24">
        <f t="shared" si="37"/>
        <v>0</v>
      </c>
      <c r="AQ62" s="274"/>
      <c r="AR62" s="277"/>
      <c r="AS62" s="277"/>
    </row>
    <row r="63" spans="1:46" s="78" customFormat="1" ht="45" customHeight="1" x14ac:dyDescent="1.1000000000000001">
      <c r="A63" s="54" t="s">
        <v>481</v>
      </c>
      <c r="B63" s="43" t="s">
        <v>482</v>
      </c>
      <c r="C63" s="42" t="s">
        <v>483</v>
      </c>
      <c r="D63" s="42" t="s">
        <v>478</v>
      </c>
      <c r="E63" s="42" t="s">
        <v>452</v>
      </c>
      <c r="F63" s="60" t="s">
        <v>484</v>
      </c>
      <c r="G63" s="60" t="s">
        <v>485</v>
      </c>
      <c r="H63" s="183">
        <v>41390</v>
      </c>
      <c r="I63" s="187">
        <v>0</v>
      </c>
      <c r="J63" s="184">
        <v>0</v>
      </c>
      <c r="K63" s="184">
        <v>0</v>
      </c>
      <c r="L63" s="184">
        <v>12600</v>
      </c>
      <c r="M63" s="184">
        <v>0</v>
      </c>
      <c r="N63" s="184">
        <f t="shared" si="38"/>
        <v>12600</v>
      </c>
      <c r="O63" s="187">
        <v>15000</v>
      </c>
      <c r="P63" s="184"/>
      <c r="Q63" s="184">
        <f>13790</f>
        <v>13790</v>
      </c>
      <c r="R63" s="184"/>
      <c r="S63" s="184">
        <f t="shared" si="31"/>
        <v>13790</v>
      </c>
      <c r="T63" s="184"/>
      <c r="U63" s="184"/>
      <c r="V63" s="184"/>
      <c r="W63" s="184">
        <f t="shared" si="32"/>
        <v>0</v>
      </c>
      <c r="X63" s="185">
        <f t="shared" si="33"/>
        <v>28790</v>
      </c>
      <c r="Y63" s="184">
        <v>0</v>
      </c>
      <c r="Z63" s="184">
        <v>0</v>
      </c>
      <c r="AA63" s="184"/>
      <c r="AB63" s="184">
        <f t="shared" si="34"/>
        <v>0</v>
      </c>
      <c r="AC63" s="184"/>
      <c r="AD63" s="184"/>
      <c r="AE63" s="184">
        <f t="shared" si="35"/>
        <v>41390</v>
      </c>
      <c r="AF63" s="184">
        <f t="shared" si="36"/>
        <v>0</v>
      </c>
      <c r="AG63" s="184"/>
      <c r="AH63" s="185"/>
      <c r="AI63" s="33"/>
      <c r="AJ63" s="33"/>
      <c r="AK63" s="23"/>
      <c r="AL63" s="23"/>
      <c r="AM63" s="23"/>
      <c r="AN63" s="23"/>
      <c r="AO63" s="23"/>
      <c r="AP63" s="24">
        <f t="shared" si="37"/>
        <v>0</v>
      </c>
      <c r="AQ63" s="274"/>
      <c r="AR63" s="277"/>
      <c r="AS63" s="277"/>
    </row>
    <row r="64" spans="1:46" s="78" customFormat="1" ht="45" customHeight="1" x14ac:dyDescent="1.1000000000000001">
      <c r="A64" s="54" t="s">
        <v>486</v>
      </c>
      <c r="B64" s="43" t="s">
        <v>487</v>
      </c>
      <c r="C64" s="42"/>
      <c r="D64" s="42"/>
      <c r="E64" s="42"/>
      <c r="F64" s="60"/>
      <c r="G64" s="60"/>
      <c r="H64" s="183">
        <v>21980.739968499212</v>
      </c>
      <c r="I64" s="187">
        <v>0</v>
      </c>
      <c r="J64" s="184">
        <v>0</v>
      </c>
      <c r="K64" s="184">
        <v>0</v>
      </c>
      <c r="L64" s="184">
        <v>0</v>
      </c>
      <c r="M64" s="184">
        <v>18168.739968499212</v>
      </c>
      <c r="N64" s="184">
        <f t="shared" si="38"/>
        <v>18168.739968499212</v>
      </c>
      <c r="O64" s="184"/>
      <c r="P64" s="184">
        <v>983</v>
      </c>
      <c r="Q64" s="184">
        <f>2771</f>
        <v>2771</v>
      </c>
      <c r="R64" s="184">
        <v>58</v>
      </c>
      <c r="S64" s="184">
        <f t="shared" si="31"/>
        <v>2829</v>
      </c>
      <c r="T64" s="184"/>
      <c r="U64" s="184"/>
      <c r="V64" s="184"/>
      <c r="W64" s="184">
        <f t="shared" si="32"/>
        <v>0</v>
      </c>
      <c r="X64" s="185">
        <f t="shared" si="33"/>
        <v>3812</v>
      </c>
      <c r="Y64" s="184">
        <v>0</v>
      </c>
      <c r="Z64" s="184">
        <v>0</v>
      </c>
      <c r="AA64" s="184"/>
      <c r="AB64" s="184">
        <f t="shared" si="34"/>
        <v>0</v>
      </c>
      <c r="AC64" s="184"/>
      <c r="AD64" s="184"/>
      <c r="AE64" s="184">
        <f t="shared" si="35"/>
        <v>21980.739968499212</v>
      </c>
      <c r="AF64" s="184">
        <f t="shared" si="36"/>
        <v>0</v>
      </c>
      <c r="AG64" s="184"/>
      <c r="AH64" s="185"/>
      <c r="AI64" s="28"/>
      <c r="AJ64" s="24"/>
      <c r="AK64" s="23"/>
      <c r="AL64" s="23"/>
      <c r="AM64" s="23"/>
      <c r="AN64" s="23"/>
      <c r="AO64" s="23"/>
      <c r="AP64" s="24">
        <f t="shared" si="37"/>
        <v>0</v>
      </c>
      <c r="AQ64" s="274"/>
      <c r="AR64" s="277"/>
      <c r="AS64" s="277"/>
    </row>
    <row r="65" spans="1:60" s="78" customFormat="1" ht="45" customHeight="1" x14ac:dyDescent="1.1000000000000001">
      <c r="A65" s="54" t="s">
        <v>488</v>
      </c>
      <c r="B65" s="43" t="s">
        <v>489</v>
      </c>
      <c r="C65" s="42"/>
      <c r="D65" s="42"/>
      <c r="E65" s="42"/>
      <c r="F65" s="60"/>
      <c r="G65" s="60"/>
      <c r="H65" s="183">
        <v>5632.7689942248562</v>
      </c>
      <c r="I65" s="187">
        <v>0</v>
      </c>
      <c r="J65" s="184">
        <v>0</v>
      </c>
      <c r="K65" s="184">
        <v>0</v>
      </c>
      <c r="L65" s="184">
        <v>0</v>
      </c>
      <c r="M65" s="184">
        <v>3259.7689942248558</v>
      </c>
      <c r="N65" s="184">
        <f t="shared" si="38"/>
        <v>3259.7689942248558</v>
      </c>
      <c r="O65" s="184"/>
      <c r="P65" s="184">
        <v>2373</v>
      </c>
      <c r="Q65" s="187"/>
      <c r="R65" s="184"/>
      <c r="S65" s="184">
        <f t="shared" si="31"/>
        <v>0</v>
      </c>
      <c r="T65" s="184"/>
      <c r="U65" s="184"/>
      <c r="V65" s="184"/>
      <c r="W65" s="184">
        <f t="shared" si="32"/>
        <v>0</v>
      </c>
      <c r="X65" s="185">
        <f t="shared" si="33"/>
        <v>2373</v>
      </c>
      <c r="Y65" s="184">
        <v>0</v>
      </c>
      <c r="Z65" s="184">
        <v>0</v>
      </c>
      <c r="AA65" s="184"/>
      <c r="AB65" s="184">
        <f t="shared" si="34"/>
        <v>0</v>
      </c>
      <c r="AC65" s="184"/>
      <c r="AD65" s="184"/>
      <c r="AE65" s="184">
        <f t="shared" si="35"/>
        <v>5632.7689942248562</v>
      </c>
      <c r="AF65" s="184">
        <f t="shared" si="36"/>
        <v>0</v>
      </c>
      <c r="AG65" s="184"/>
      <c r="AH65" s="185"/>
      <c r="AI65" s="24"/>
      <c r="AJ65" s="24"/>
      <c r="AK65" s="23"/>
      <c r="AL65" s="23"/>
      <c r="AM65" s="23"/>
      <c r="AN65" s="23"/>
      <c r="AO65" s="23"/>
      <c r="AP65" s="24">
        <f t="shared" si="37"/>
        <v>0</v>
      </c>
      <c r="AQ65" s="274"/>
      <c r="AR65" s="277"/>
      <c r="AS65" s="277"/>
    </row>
    <row r="66" spans="1:60" s="78" customFormat="1" ht="45" customHeight="1" x14ac:dyDescent="1.1000000000000001">
      <c r="A66" s="54" t="s">
        <v>490</v>
      </c>
      <c r="B66" s="43" t="s">
        <v>491</v>
      </c>
      <c r="C66" s="79"/>
      <c r="D66" s="42"/>
      <c r="E66" s="42"/>
      <c r="F66" s="60"/>
      <c r="G66" s="60"/>
      <c r="H66" s="183">
        <v>40000</v>
      </c>
      <c r="I66" s="187">
        <v>0</v>
      </c>
      <c r="J66" s="184">
        <v>0</v>
      </c>
      <c r="K66" s="184">
        <v>0</v>
      </c>
      <c r="L66" s="184">
        <v>0</v>
      </c>
      <c r="M66" s="184">
        <v>0</v>
      </c>
      <c r="N66" s="184">
        <f t="shared" si="38"/>
        <v>0</v>
      </c>
      <c r="O66" s="184"/>
      <c r="P66" s="184"/>
      <c r="Q66" s="187"/>
      <c r="R66" s="184"/>
      <c r="S66" s="184">
        <f t="shared" si="31"/>
        <v>0</v>
      </c>
      <c r="T66" s="184"/>
      <c r="U66" s="184"/>
      <c r="V66" s="184"/>
      <c r="W66" s="184">
        <f t="shared" si="32"/>
        <v>0</v>
      </c>
      <c r="X66" s="185">
        <f t="shared" si="33"/>
        <v>0</v>
      </c>
      <c r="Y66" s="184">
        <v>40000</v>
      </c>
      <c r="Z66" s="184">
        <v>0</v>
      </c>
      <c r="AA66" s="184"/>
      <c r="AB66" s="184">
        <f t="shared" si="34"/>
        <v>40000</v>
      </c>
      <c r="AC66" s="184"/>
      <c r="AD66" s="184"/>
      <c r="AE66" s="184">
        <f t="shared" si="35"/>
        <v>40000</v>
      </c>
      <c r="AF66" s="184">
        <f t="shared" si="36"/>
        <v>0</v>
      </c>
      <c r="AG66" s="184"/>
      <c r="AH66" s="185"/>
      <c r="AI66" s="28"/>
      <c r="AJ66" s="74"/>
      <c r="AK66" s="23"/>
      <c r="AL66" s="23"/>
      <c r="AM66" s="23"/>
      <c r="AN66" s="23"/>
      <c r="AO66" s="23"/>
      <c r="AP66" s="24">
        <f t="shared" si="37"/>
        <v>0</v>
      </c>
      <c r="AQ66" s="274"/>
      <c r="AR66" s="277"/>
      <c r="AS66" s="277"/>
    </row>
    <row r="67" spans="1:60" s="78" customFormat="1" ht="45" customHeight="1" x14ac:dyDescent="1.1000000000000001">
      <c r="A67" s="54" t="s">
        <v>492</v>
      </c>
      <c r="B67" s="77" t="s">
        <v>493</v>
      </c>
      <c r="C67" s="42"/>
      <c r="D67" s="42"/>
      <c r="E67" s="42"/>
      <c r="F67" s="60"/>
      <c r="G67" s="60"/>
      <c r="H67" s="183">
        <v>0</v>
      </c>
      <c r="I67" s="187">
        <v>0</v>
      </c>
      <c r="J67" s="184">
        <v>0</v>
      </c>
      <c r="K67" s="184">
        <v>0</v>
      </c>
      <c r="L67" s="184">
        <v>0</v>
      </c>
      <c r="M67" s="184">
        <v>0</v>
      </c>
      <c r="N67" s="184">
        <f t="shared" si="38"/>
        <v>0</v>
      </c>
      <c r="O67" s="184"/>
      <c r="P67" s="184"/>
      <c r="Q67" s="187"/>
      <c r="R67" s="184"/>
      <c r="S67" s="184">
        <f t="shared" si="31"/>
        <v>0</v>
      </c>
      <c r="T67" s="184"/>
      <c r="U67" s="184"/>
      <c r="V67" s="184"/>
      <c r="W67" s="184">
        <f t="shared" si="32"/>
        <v>0</v>
      </c>
      <c r="X67" s="185">
        <f t="shared" si="33"/>
        <v>0</v>
      </c>
      <c r="Y67" s="184">
        <v>0</v>
      </c>
      <c r="Z67" s="184">
        <v>0</v>
      </c>
      <c r="AA67" s="184"/>
      <c r="AB67" s="184">
        <f t="shared" si="34"/>
        <v>0</v>
      </c>
      <c r="AC67" s="184"/>
      <c r="AD67" s="184"/>
      <c r="AE67" s="184">
        <f t="shared" si="35"/>
        <v>0</v>
      </c>
      <c r="AF67" s="184">
        <f t="shared" si="36"/>
        <v>0</v>
      </c>
      <c r="AG67" s="184"/>
      <c r="AH67" s="185"/>
      <c r="AI67" s="24"/>
      <c r="AJ67" s="24"/>
      <c r="AK67" s="23"/>
      <c r="AL67" s="23"/>
      <c r="AM67" s="23"/>
      <c r="AN67" s="23"/>
      <c r="AO67" s="23"/>
      <c r="AP67" s="24">
        <f t="shared" si="37"/>
        <v>0</v>
      </c>
      <c r="AQ67" s="274"/>
      <c r="AR67" s="277"/>
      <c r="AS67" s="277"/>
    </row>
    <row r="68" spans="1:60" s="78" customFormat="1" ht="45" customHeight="1" x14ac:dyDescent="1.1000000000000001">
      <c r="A68" s="54"/>
      <c r="B68" s="77" t="s">
        <v>494</v>
      </c>
      <c r="C68" s="42"/>
      <c r="D68" s="42"/>
      <c r="E68" s="42"/>
      <c r="F68" s="60"/>
      <c r="G68" s="60"/>
      <c r="H68" s="183">
        <v>0</v>
      </c>
      <c r="I68" s="187"/>
      <c r="J68" s="184">
        <v>0</v>
      </c>
      <c r="K68" s="184">
        <v>0</v>
      </c>
      <c r="L68" s="184">
        <v>0</v>
      </c>
      <c r="M68" s="184">
        <v>0</v>
      </c>
      <c r="N68" s="184">
        <f t="shared" si="38"/>
        <v>0</v>
      </c>
      <c r="O68" s="184"/>
      <c r="P68" s="184"/>
      <c r="Q68" s="187"/>
      <c r="R68" s="184"/>
      <c r="S68" s="184">
        <f t="shared" si="31"/>
        <v>0</v>
      </c>
      <c r="T68" s="184"/>
      <c r="U68" s="184"/>
      <c r="V68" s="184"/>
      <c r="W68" s="184">
        <f t="shared" si="32"/>
        <v>0</v>
      </c>
      <c r="X68" s="185">
        <f t="shared" si="33"/>
        <v>0</v>
      </c>
      <c r="Y68" s="184">
        <v>0</v>
      </c>
      <c r="Z68" s="184">
        <v>0</v>
      </c>
      <c r="AA68" s="184"/>
      <c r="AB68" s="184">
        <f t="shared" si="34"/>
        <v>0</v>
      </c>
      <c r="AC68" s="184"/>
      <c r="AD68" s="184"/>
      <c r="AE68" s="184">
        <f t="shared" si="35"/>
        <v>0</v>
      </c>
      <c r="AF68" s="184">
        <f t="shared" si="36"/>
        <v>0</v>
      </c>
      <c r="AG68" s="184"/>
      <c r="AH68" s="185"/>
      <c r="AI68" s="24"/>
      <c r="AJ68" s="74"/>
      <c r="AK68" s="23"/>
      <c r="AL68" s="23"/>
      <c r="AM68" s="23"/>
      <c r="AN68" s="23"/>
      <c r="AO68" s="23"/>
      <c r="AP68" s="24">
        <f t="shared" si="37"/>
        <v>0</v>
      </c>
      <c r="AQ68" s="274"/>
      <c r="AR68" s="277"/>
      <c r="AS68" s="277"/>
    </row>
    <row r="69" spans="1:60" s="78" customFormat="1" ht="45" customHeight="1" x14ac:dyDescent="1.1000000000000001">
      <c r="A69" s="54" t="s">
        <v>495</v>
      </c>
      <c r="B69" s="77" t="s">
        <v>496</v>
      </c>
      <c r="C69" s="42" t="s">
        <v>497</v>
      </c>
      <c r="D69" s="42" t="s">
        <v>478</v>
      </c>
      <c r="E69" s="42" t="s">
        <v>452</v>
      </c>
      <c r="F69" s="60" t="s">
        <v>498</v>
      </c>
      <c r="G69" s="60" t="s">
        <v>499</v>
      </c>
      <c r="H69" s="183">
        <v>670000</v>
      </c>
      <c r="I69" s="187">
        <v>0</v>
      </c>
      <c r="J69" s="184">
        <v>0</v>
      </c>
      <c r="K69" s="184">
        <v>0</v>
      </c>
      <c r="L69" s="184">
        <v>0</v>
      </c>
      <c r="M69" s="184">
        <v>0</v>
      </c>
      <c r="N69" s="184">
        <f t="shared" si="38"/>
        <v>0</v>
      </c>
      <c r="O69" s="184"/>
      <c r="P69" s="184"/>
      <c r="Q69" s="223"/>
      <c r="R69" s="184"/>
      <c r="S69" s="184">
        <f t="shared" si="31"/>
        <v>0</v>
      </c>
      <c r="T69" s="184"/>
      <c r="U69" s="184"/>
      <c r="V69" s="184"/>
      <c r="W69" s="184">
        <f t="shared" si="32"/>
        <v>0</v>
      </c>
      <c r="X69" s="185">
        <f t="shared" si="33"/>
        <v>0</v>
      </c>
      <c r="Y69" s="184">
        <v>0</v>
      </c>
      <c r="Z69" s="184">
        <v>0</v>
      </c>
      <c r="AA69" s="184"/>
      <c r="AB69" s="184">
        <f t="shared" si="34"/>
        <v>0</v>
      </c>
      <c r="AC69" s="184"/>
      <c r="AD69" s="184"/>
      <c r="AE69" s="184">
        <f t="shared" si="35"/>
        <v>0</v>
      </c>
      <c r="AF69" s="184">
        <f t="shared" si="36"/>
        <v>670000</v>
      </c>
      <c r="AG69" s="185">
        <v>670000</v>
      </c>
      <c r="AH69" s="63">
        <v>670000</v>
      </c>
      <c r="AI69" s="24">
        <v>670000</v>
      </c>
      <c r="AJ69" s="80"/>
      <c r="AK69" s="23">
        <f>AI69*20%</f>
        <v>134000</v>
      </c>
      <c r="AL69" s="23">
        <f>AI69*20%</f>
        <v>134000</v>
      </c>
      <c r="AM69" s="23">
        <f>AG69*20%</f>
        <v>134000</v>
      </c>
      <c r="AN69" s="23">
        <f>AG69*20%</f>
        <v>134000</v>
      </c>
      <c r="AO69" s="23">
        <f>AG69*20%</f>
        <v>134000</v>
      </c>
      <c r="AP69" s="24">
        <f t="shared" si="37"/>
        <v>670000</v>
      </c>
      <c r="AQ69" s="274">
        <v>670000</v>
      </c>
      <c r="AR69" s="277"/>
      <c r="AS69" s="277"/>
    </row>
    <row r="70" spans="1:60" s="78" customFormat="1" ht="45" customHeight="1" x14ac:dyDescent="1.1000000000000001">
      <c r="A70" s="54" t="s">
        <v>500</v>
      </c>
      <c r="B70" s="77" t="s">
        <v>501</v>
      </c>
      <c r="C70" s="42" t="s">
        <v>502</v>
      </c>
      <c r="D70" s="42" t="s">
        <v>503</v>
      </c>
      <c r="E70" s="42" t="s">
        <v>278</v>
      </c>
      <c r="F70" s="60" t="s">
        <v>356</v>
      </c>
      <c r="G70" s="60" t="s">
        <v>504</v>
      </c>
      <c r="H70" s="183">
        <v>0</v>
      </c>
      <c r="I70" s="187">
        <v>0</v>
      </c>
      <c r="J70" s="184">
        <v>0</v>
      </c>
      <c r="K70" s="184">
        <v>0</v>
      </c>
      <c r="L70" s="184">
        <v>0</v>
      </c>
      <c r="M70" s="184">
        <v>0</v>
      </c>
      <c r="N70" s="184">
        <f t="shared" si="38"/>
        <v>0</v>
      </c>
      <c r="O70" s="184"/>
      <c r="P70" s="184"/>
      <c r="Q70" s="223"/>
      <c r="R70" s="184"/>
      <c r="S70" s="184">
        <f t="shared" si="31"/>
        <v>0</v>
      </c>
      <c r="T70" s="184"/>
      <c r="U70" s="184"/>
      <c r="V70" s="184"/>
      <c r="W70" s="184">
        <f t="shared" si="32"/>
        <v>0</v>
      </c>
      <c r="X70" s="185">
        <f t="shared" si="33"/>
        <v>0</v>
      </c>
      <c r="Y70" s="184">
        <v>0</v>
      </c>
      <c r="Z70" s="184">
        <v>0</v>
      </c>
      <c r="AA70" s="184"/>
      <c r="AB70" s="184">
        <f t="shared" si="34"/>
        <v>0</v>
      </c>
      <c r="AC70" s="184"/>
      <c r="AD70" s="184"/>
      <c r="AE70" s="184">
        <f t="shared" si="35"/>
        <v>0</v>
      </c>
      <c r="AF70" s="184">
        <f t="shared" si="36"/>
        <v>0</v>
      </c>
      <c r="AG70" s="184"/>
      <c r="AH70" s="185"/>
      <c r="AI70" s="28"/>
      <c r="AJ70" s="80"/>
      <c r="AK70" s="23"/>
      <c r="AL70" s="23"/>
      <c r="AM70" s="23"/>
      <c r="AN70" s="23"/>
      <c r="AO70" s="23"/>
      <c r="AP70" s="24">
        <f t="shared" si="37"/>
        <v>0</v>
      </c>
      <c r="AQ70" s="274"/>
      <c r="AR70" s="277"/>
      <c r="AS70" s="277"/>
    </row>
    <row r="71" spans="1:60" s="38" customFormat="1" ht="45" customHeight="1" x14ac:dyDescent="1.1000000000000001">
      <c r="A71" s="81" t="s">
        <v>505</v>
      </c>
      <c r="B71" s="81" t="s">
        <v>506</v>
      </c>
      <c r="C71" s="51" t="s">
        <v>507</v>
      </c>
      <c r="D71" s="51" t="s">
        <v>441</v>
      </c>
      <c r="E71" s="51" t="s">
        <v>442</v>
      </c>
      <c r="F71" s="51" t="s">
        <v>508</v>
      </c>
      <c r="G71" s="51" t="s">
        <v>509</v>
      </c>
      <c r="H71" s="183">
        <v>120000</v>
      </c>
      <c r="I71" s="184">
        <v>0</v>
      </c>
      <c r="J71" s="184">
        <v>36000</v>
      </c>
      <c r="K71" s="184">
        <v>0</v>
      </c>
      <c r="L71" s="184">
        <v>0</v>
      </c>
      <c r="M71" s="184">
        <v>84000</v>
      </c>
      <c r="N71" s="184">
        <f t="shared" si="38"/>
        <v>120000</v>
      </c>
      <c r="O71" s="184"/>
      <c r="P71" s="184"/>
      <c r="Q71" s="184"/>
      <c r="R71" s="184"/>
      <c r="S71" s="184">
        <f t="shared" si="31"/>
        <v>0</v>
      </c>
      <c r="T71" s="184"/>
      <c r="U71" s="184"/>
      <c r="V71" s="184"/>
      <c r="W71" s="184">
        <f t="shared" si="32"/>
        <v>0</v>
      </c>
      <c r="X71" s="185">
        <f t="shared" si="33"/>
        <v>0</v>
      </c>
      <c r="Y71" s="184">
        <v>0</v>
      </c>
      <c r="Z71" s="184">
        <v>0</v>
      </c>
      <c r="AA71" s="184"/>
      <c r="AB71" s="184">
        <f t="shared" si="34"/>
        <v>0</v>
      </c>
      <c r="AC71" s="184"/>
      <c r="AD71" s="184"/>
      <c r="AE71" s="184">
        <f t="shared" si="35"/>
        <v>120000</v>
      </c>
      <c r="AF71" s="184">
        <f t="shared" si="36"/>
        <v>0</v>
      </c>
      <c r="AG71" s="184"/>
      <c r="AH71" s="185"/>
      <c r="AI71" s="28"/>
      <c r="AJ71" s="28"/>
      <c r="AK71" s="23"/>
      <c r="AL71" s="23"/>
      <c r="AM71" s="23"/>
      <c r="AN71" s="23"/>
      <c r="AO71" s="23"/>
      <c r="AP71" s="24">
        <f t="shared" si="37"/>
        <v>0</v>
      </c>
      <c r="AQ71" s="274"/>
      <c r="AR71" s="262"/>
      <c r="AS71" s="262"/>
      <c r="AT71" s="9"/>
      <c r="AU71" s="9"/>
      <c r="AV71" s="9"/>
      <c r="AW71" s="9"/>
      <c r="AX71" s="9"/>
      <c r="AY71" s="9"/>
      <c r="AZ71" s="9"/>
      <c r="BA71" s="9"/>
      <c r="BB71" s="9"/>
      <c r="BC71" s="9"/>
      <c r="BD71" s="9"/>
      <c r="BE71" s="9"/>
      <c r="BF71" s="9"/>
      <c r="BG71" s="9"/>
      <c r="BH71" s="9"/>
    </row>
    <row r="72" spans="1:60" s="38" customFormat="1" ht="45" customHeight="1" x14ac:dyDescent="1.1000000000000001">
      <c r="A72" s="81" t="s">
        <v>510</v>
      </c>
      <c r="B72" s="51" t="s">
        <v>511</v>
      </c>
      <c r="C72" s="51" t="s">
        <v>512</v>
      </c>
      <c r="D72" s="51"/>
      <c r="E72" s="51"/>
      <c r="F72" s="51"/>
      <c r="G72" s="51"/>
      <c r="H72" s="183">
        <v>5685</v>
      </c>
      <c r="I72" s="184"/>
      <c r="J72" s="184"/>
      <c r="K72" s="184"/>
      <c r="L72" s="184"/>
      <c r="M72" s="223"/>
      <c r="N72" s="184"/>
      <c r="O72" s="184"/>
      <c r="P72" s="184"/>
      <c r="Q72" s="184"/>
      <c r="R72" s="184">
        <v>5685</v>
      </c>
      <c r="S72" s="184">
        <f t="shared" si="31"/>
        <v>5685</v>
      </c>
      <c r="T72" s="184"/>
      <c r="U72" s="184"/>
      <c r="V72" s="184"/>
      <c r="W72" s="184">
        <f t="shared" si="32"/>
        <v>0</v>
      </c>
      <c r="X72" s="185">
        <f t="shared" si="33"/>
        <v>5685</v>
      </c>
      <c r="Y72" s="184">
        <v>0</v>
      </c>
      <c r="Z72" s="184">
        <v>0</v>
      </c>
      <c r="AA72" s="184"/>
      <c r="AB72" s="184">
        <f t="shared" si="34"/>
        <v>0</v>
      </c>
      <c r="AC72" s="184"/>
      <c r="AD72" s="184"/>
      <c r="AE72" s="184">
        <f t="shared" si="35"/>
        <v>5685</v>
      </c>
      <c r="AF72" s="184">
        <f t="shared" si="36"/>
        <v>0</v>
      </c>
      <c r="AG72" s="184"/>
      <c r="AH72" s="210"/>
      <c r="AI72" s="28"/>
      <c r="AJ72" s="28"/>
      <c r="AK72" s="23"/>
      <c r="AL72" s="23"/>
      <c r="AM72" s="23"/>
      <c r="AN72" s="23"/>
      <c r="AO72" s="23"/>
      <c r="AP72" s="24"/>
      <c r="AQ72" s="274"/>
      <c r="AR72" s="262"/>
      <c r="AS72" s="262"/>
      <c r="AT72" s="9"/>
      <c r="AU72" s="9"/>
      <c r="AV72" s="9"/>
      <c r="AW72" s="9"/>
      <c r="AX72" s="9"/>
      <c r="AY72" s="9"/>
      <c r="AZ72" s="9"/>
      <c r="BA72" s="9"/>
      <c r="BB72" s="9"/>
      <c r="BC72" s="9"/>
      <c r="BD72" s="9"/>
      <c r="BE72" s="9"/>
      <c r="BF72" s="9"/>
      <c r="BG72" s="9"/>
      <c r="BH72" s="9"/>
    </row>
    <row r="73" spans="1:60" s="38" customFormat="1" ht="45" customHeight="1" x14ac:dyDescent="1.1000000000000001">
      <c r="A73" s="81" t="s">
        <v>513</v>
      </c>
      <c r="B73" s="81" t="s">
        <v>514</v>
      </c>
      <c r="C73" s="224" t="s">
        <v>515</v>
      </c>
      <c r="D73" s="51" t="s">
        <v>516</v>
      </c>
      <c r="E73" s="51" t="s">
        <v>288</v>
      </c>
      <c r="F73" s="51"/>
      <c r="G73" s="51" t="s">
        <v>517</v>
      </c>
      <c r="H73" s="183">
        <v>23824.392484812121</v>
      </c>
      <c r="I73" s="184">
        <v>0</v>
      </c>
      <c r="J73" s="184">
        <v>0</v>
      </c>
      <c r="K73" s="184">
        <v>3657.1034275856896</v>
      </c>
      <c r="L73" s="184">
        <v>2001.0500262506564</v>
      </c>
      <c r="M73" s="184">
        <v>6301.2390309757748</v>
      </c>
      <c r="N73" s="184">
        <f>SUM(J73:M73)</f>
        <v>11959.392484812121</v>
      </c>
      <c r="O73" s="184">
        <v>898</v>
      </c>
      <c r="P73" s="184"/>
      <c r="Q73" s="184">
        <f>1558+1702</f>
        <v>3260</v>
      </c>
      <c r="R73" s="184">
        <v>2205</v>
      </c>
      <c r="S73" s="184">
        <f t="shared" si="31"/>
        <v>5465</v>
      </c>
      <c r="T73" s="184"/>
      <c r="U73" s="184"/>
      <c r="V73" s="184"/>
      <c r="W73" s="184">
        <f t="shared" si="32"/>
        <v>0</v>
      </c>
      <c r="X73" s="185">
        <f t="shared" si="33"/>
        <v>6363</v>
      </c>
      <c r="Y73" s="184">
        <v>1002</v>
      </c>
      <c r="Z73" s="184">
        <v>0</v>
      </c>
      <c r="AA73" s="184">
        <f>(614380+1920846.5)/1501.06</f>
        <v>1688.9574700544949</v>
      </c>
      <c r="AB73" s="184">
        <f t="shared" si="34"/>
        <v>2690.9574700544949</v>
      </c>
      <c r="AC73" s="184"/>
      <c r="AD73" s="184"/>
      <c r="AE73" s="184">
        <f t="shared" si="35"/>
        <v>21013.349954866615</v>
      </c>
      <c r="AF73" s="184">
        <f t="shared" si="36"/>
        <v>2811.0425299455055</v>
      </c>
      <c r="AG73" s="185">
        <f>2237+1863+400</f>
        <v>4500</v>
      </c>
      <c r="AH73" s="184">
        <v>4500</v>
      </c>
      <c r="AI73" s="28"/>
      <c r="AJ73" s="28"/>
      <c r="AK73" s="28">
        <v>4500</v>
      </c>
      <c r="AL73" s="28"/>
      <c r="AM73" s="28"/>
      <c r="AN73" s="28"/>
      <c r="AO73" s="23"/>
      <c r="AP73" s="24">
        <f>AJ73+AK73+AL73+AM73+AN73+AO73</f>
        <v>4500</v>
      </c>
      <c r="AQ73" s="275">
        <f>2811+689</f>
        <v>3500</v>
      </c>
      <c r="AR73" s="262"/>
      <c r="AS73" s="276">
        <v>689</v>
      </c>
      <c r="AT73" s="9"/>
      <c r="AU73" s="9"/>
      <c r="AV73" s="9"/>
      <c r="AW73" s="9"/>
      <c r="AX73" s="9"/>
      <c r="AY73" s="9"/>
      <c r="AZ73" s="9"/>
      <c r="BA73" s="9"/>
      <c r="BB73" s="9"/>
      <c r="BC73" s="9"/>
      <c r="BD73" s="9"/>
      <c r="BE73" s="9"/>
      <c r="BF73" s="9"/>
      <c r="BG73" s="9"/>
      <c r="BH73" s="9"/>
    </row>
    <row r="74" spans="1:60" s="38" customFormat="1" ht="45" customHeight="1" x14ac:dyDescent="1.1000000000000001">
      <c r="A74" s="81" t="s">
        <v>518</v>
      </c>
      <c r="B74" s="51" t="s">
        <v>519</v>
      </c>
      <c r="C74" s="225"/>
      <c r="D74" s="51"/>
      <c r="E74" s="51"/>
      <c r="F74" s="51"/>
      <c r="G74" s="51"/>
      <c r="H74" s="183">
        <v>6525</v>
      </c>
      <c r="I74" s="184"/>
      <c r="J74" s="184"/>
      <c r="K74" s="184"/>
      <c r="L74" s="184"/>
      <c r="M74" s="184"/>
      <c r="N74" s="184"/>
      <c r="O74" s="184"/>
      <c r="P74" s="184"/>
      <c r="Q74" s="184"/>
      <c r="R74" s="184">
        <v>5998</v>
      </c>
      <c r="S74" s="184">
        <f t="shared" si="31"/>
        <v>5998</v>
      </c>
      <c r="T74" s="184"/>
      <c r="U74" s="184"/>
      <c r="V74" s="184">
        <v>527</v>
      </c>
      <c r="W74" s="184">
        <f t="shared" si="32"/>
        <v>527</v>
      </c>
      <c r="X74" s="185">
        <f t="shared" si="33"/>
        <v>6525</v>
      </c>
      <c r="Y74" s="184">
        <v>0</v>
      </c>
      <c r="Z74" s="184">
        <v>0</v>
      </c>
      <c r="AA74" s="184"/>
      <c r="AB74" s="184">
        <f t="shared" si="34"/>
        <v>0</v>
      </c>
      <c r="AC74" s="184"/>
      <c r="AD74" s="184"/>
      <c r="AE74" s="184">
        <f t="shared" si="35"/>
        <v>6525</v>
      </c>
      <c r="AF74" s="184">
        <f t="shared" si="36"/>
        <v>0</v>
      </c>
      <c r="AG74" s="184"/>
      <c r="AH74" s="210"/>
      <c r="AI74" s="185"/>
      <c r="AJ74" s="184"/>
      <c r="AK74" s="82"/>
      <c r="AL74" s="82"/>
      <c r="AM74" s="83"/>
      <c r="AN74" s="82"/>
      <c r="AO74" s="23"/>
      <c r="AP74" s="24">
        <f>AJ74+AK74+AL74+AM74+AN74+AO74</f>
        <v>0</v>
      </c>
      <c r="AQ74" s="274"/>
      <c r="AR74" s="262"/>
      <c r="AS74" s="262"/>
      <c r="AT74" s="9"/>
      <c r="AU74" s="9"/>
      <c r="AV74" s="9"/>
      <c r="AW74" s="9"/>
      <c r="AX74" s="9"/>
      <c r="AY74" s="9"/>
      <c r="AZ74" s="9"/>
      <c r="BA74" s="9"/>
      <c r="BB74" s="9"/>
      <c r="BC74" s="9"/>
      <c r="BD74" s="9"/>
      <c r="BE74" s="9"/>
      <c r="BF74" s="9"/>
      <c r="BG74" s="9"/>
      <c r="BH74" s="9"/>
    </row>
    <row r="75" spans="1:60" s="38" customFormat="1" ht="45" customHeight="1" x14ac:dyDescent="1.1000000000000001">
      <c r="A75" s="81" t="s">
        <v>520</v>
      </c>
      <c r="B75" s="43" t="s">
        <v>521</v>
      </c>
      <c r="C75" s="51" t="s">
        <v>522</v>
      </c>
      <c r="D75" s="51" t="s">
        <v>523</v>
      </c>
      <c r="E75" s="51" t="s">
        <v>306</v>
      </c>
      <c r="F75" s="51"/>
      <c r="G75" s="51"/>
      <c r="H75" s="183">
        <v>8000</v>
      </c>
      <c r="I75" s="184"/>
      <c r="J75" s="184"/>
      <c r="K75" s="184"/>
      <c r="L75" s="184"/>
      <c r="M75" s="184"/>
      <c r="N75" s="184"/>
      <c r="O75" s="184"/>
      <c r="P75" s="184"/>
      <c r="Q75" s="184"/>
      <c r="R75" s="184"/>
      <c r="S75" s="184">
        <f t="shared" si="31"/>
        <v>0</v>
      </c>
      <c r="T75" s="184"/>
      <c r="U75" s="184"/>
      <c r="V75" s="184">
        <v>7607</v>
      </c>
      <c r="W75" s="184">
        <f t="shared" si="32"/>
        <v>7607</v>
      </c>
      <c r="X75" s="185">
        <f t="shared" si="33"/>
        <v>7607</v>
      </c>
      <c r="Y75" s="184">
        <v>0</v>
      </c>
      <c r="Z75" s="184">
        <v>155</v>
      </c>
      <c r="AA75" s="184"/>
      <c r="AB75" s="184">
        <f t="shared" si="34"/>
        <v>155</v>
      </c>
      <c r="AC75" s="184"/>
      <c r="AD75" s="184"/>
      <c r="AE75" s="184">
        <f t="shared" si="35"/>
        <v>7762</v>
      </c>
      <c r="AF75" s="184">
        <f t="shared" si="36"/>
        <v>238</v>
      </c>
      <c r="AG75" s="185">
        <v>238</v>
      </c>
      <c r="AH75" s="185"/>
      <c r="AI75" s="185"/>
      <c r="AJ75" s="184"/>
      <c r="AK75" s="23">
        <v>393</v>
      </c>
      <c r="AL75" s="23"/>
      <c r="AM75" s="83"/>
      <c r="AN75" s="23"/>
      <c r="AO75" s="23"/>
      <c r="AP75" s="24">
        <f>AJ75+AK75+AL75+AM75+AN75+AO75</f>
        <v>393</v>
      </c>
      <c r="AQ75" s="275">
        <v>0</v>
      </c>
      <c r="AR75" s="262" t="s">
        <v>614</v>
      </c>
      <c r="AS75" s="269">
        <v>238</v>
      </c>
      <c r="AT75" s="9"/>
      <c r="AU75" s="9"/>
      <c r="AV75" s="9"/>
      <c r="AW75" s="9"/>
      <c r="AX75" s="9"/>
      <c r="AY75" s="9"/>
      <c r="AZ75" s="9"/>
      <c r="BA75" s="9"/>
      <c r="BB75" s="9"/>
      <c r="BC75" s="9"/>
      <c r="BD75" s="9"/>
      <c r="BE75" s="9"/>
      <c r="BF75" s="9"/>
      <c r="BG75" s="9"/>
      <c r="BH75" s="9"/>
    </row>
    <row r="76" spans="1:60" ht="45" customHeight="1" x14ac:dyDescent="1.1000000000000001">
      <c r="A76" s="81" t="s">
        <v>524</v>
      </c>
      <c r="B76" s="51" t="s">
        <v>525</v>
      </c>
      <c r="C76" s="51"/>
      <c r="D76" s="51"/>
      <c r="E76" s="51"/>
      <c r="F76" s="51"/>
      <c r="G76" s="51"/>
      <c r="H76" s="183">
        <v>0</v>
      </c>
      <c r="I76" s="184"/>
      <c r="J76" s="184"/>
      <c r="K76" s="184"/>
      <c r="L76" s="184"/>
      <c r="M76" s="184"/>
      <c r="N76" s="184"/>
      <c r="O76" s="184"/>
      <c r="P76" s="184"/>
      <c r="Q76" s="184"/>
      <c r="R76" s="184"/>
      <c r="S76" s="184">
        <f t="shared" si="31"/>
        <v>0</v>
      </c>
      <c r="T76" s="184"/>
      <c r="U76" s="184"/>
      <c r="V76" s="184"/>
      <c r="W76" s="184">
        <f t="shared" si="32"/>
        <v>0</v>
      </c>
      <c r="X76" s="185">
        <f t="shared" si="33"/>
        <v>0</v>
      </c>
      <c r="Y76" s="184">
        <v>0</v>
      </c>
      <c r="Z76" s="184">
        <v>0</v>
      </c>
      <c r="AA76" s="184"/>
      <c r="AB76" s="184">
        <f t="shared" si="34"/>
        <v>0</v>
      </c>
      <c r="AC76" s="184"/>
      <c r="AD76" s="184"/>
      <c r="AE76" s="184">
        <f t="shared" si="35"/>
        <v>0</v>
      </c>
      <c r="AF76" s="184">
        <f t="shared" si="36"/>
        <v>0</v>
      </c>
      <c r="AG76" s="184"/>
      <c r="AH76" s="185"/>
      <c r="AI76" s="28"/>
      <c r="AJ76" s="23"/>
      <c r="AK76" s="84"/>
      <c r="AL76" s="84"/>
      <c r="AM76" s="84"/>
      <c r="AN76" s="84"/>
      <c r="AO76" s="84"/>
      <c r="AP76" s="24">
        <f>AJ76+AK76+AL76+AM76+AN76+AO76</f>
        <v>0</v>
      </c>
      <c r="AQ76" s="274"/>
    </row>
    <row r="77" spans="1:60" ht="45" customHeight="1" x14ac:dyDescent="1.1000000000000001">
      <c r="A77" s="54" t="s">
        <v>526</v>
      </c>
      <c r="B77" s="81" t="s">
        <v>527</v>
      </c>
      <c r="C77" s="85"/>
      <c r="D77" s="85"/>
      <c r="E77" s="85"/>
      <c r="F77" s="85"/>
      <c r="G77" s="85"/>
      <c r="H77" s="183">
        <v>0</v>
      </c>
      <c r="I77" s="184"/>
      <c r="J77" s="184"/>
      <c r="K77" s="184"/>
      <c r="L77" s="184"/>
      <c r="M77" s="184"/>
      <c r="N77" s="184"/>
      <c r="O77" s="184"/>
      <c r="P77" s="184"/>
      <c r="Q77" s="86"/>
      <c r="R77" s="184"/>
      <c r="S77" s="184">
        <f t="shared" si="31"/>
        <v>0</v>
      </c>
      <c r="T77" s="184"/>
      <c r="U77" s="184"/>
      <c r="V77" s="184"/>
      <c r="W77" s="184">
        <f t="shared" si="32"/>
        <v>0</v>
      </c>
      <c r="X77" s="185">
        <f t="shared" si="33"/>
        <v>0</v>
      </c>
      <c r="Y77" s="184">
        <v>0</v>
      </c>
      <c r="Z77" s="184">
        <v>0</v>
      </c>
      <c r="AA77" s="184"/>
      <c r="AB77" s="184">
        <f t="shared" si="34"/>
        <v>0</v>
      </c>
      <c r="AC77" s="184"/>
      <c r="AD77" s="184"/>
      <c r="AE77" s="184">
        <f t="shared" si="35"/>
        <v>0</v>
      </c>
      <c r="AF77" s="184">
        <f t="shared" si="36"/>
        <v>0</v>
      </c>
      <c r="AG77" s="184"/>
      <c r="AH77" s="185"/>
      <c r="AI77" s="87"/>
      <c r="AJ77" s="87"/>
      <c r="AK77" s="84"/>
      <c r="AL77" s="84"/>
      <c r="AM77" s="84"/>
      <c r="AN77" s="84"/>
      <c r="AO77" s="84"/>
      <c r="AP77" s="24">
        <f>AJ77+AK77+AL77+AM77+AN77+AO77</f>
        <v>0</v>
      </c>
      <c r="AQ77" s="274"/>
    </row>
    <row r="78" spans="1:60" ht="45" customHeight="1" x14ac:dyDescent="0.8">
      <c r="A78" s="337" t="s">
        <v>528</v>
      </c>
      <c r="B78" s="337"/>
      <c r="C78" s="337"/>
      <c r="D78" s="337"/>
      <c r="E78" s="337"/>
      <c r="F78" s="337"/>
      <c r="G78" s="337"/>
      <c r="H78" s="88">
        <v>2144428.9075186327</v>
      </c>
      <c r="I78" s="88">
        <f t="shared" ref="I78:W78" si="39">SUM(I49:I77)</f>
        <v>155196.45129465242</v>
      </c>
      <c r="J78" s="88">
        <f t="shared" si="39"/>
        <v>221515.40477644445</v>
      </c>
      <c r="K78" s="88">
        <f t="shared" si="39"/>
        <v>83657.103427585695</v>
      </c>
      <c r="L78" s="88">
        <f t="shared" si="39"/>
        <v>53685.200026250655</v>
      </c>
      <c r="M78" s="88">
        <f t="shared" si="39"/>
        <v>111729.74799369984</v>
      </c>
      <c r="N78" s="88">
        <f t="shared" si="39"/>
        <v>470587.45622398064</v>
      </c>
      <c r="O78" s="88">
        <f t="shared" si="39"/>
        <v>97960</v>
      </c>
      <c r="P78" s="88">
        <f t="shared" si="39"/>
        <v>179130</v>
      </c>
      <c r="Q78" s="88">
        <f t="shared" si="39"/>
        <v>126007</v>
      </c>
      <c r="R78" s="88">
        <f t="shared" si="39"/>
        <v>13946</v>
      </c>
      <c r="S78" s="88">
        <f t="shared" si="39"/>
        <v>139953</v>
      </c>
      <c r="T78" s="88">
        <f t="shared" si="39"/>
        <v>0</v>
      </c>
      <c r="U78" s="88">
        <f t="shared" si="39"/>
        <v>0</v>
      </c>
      <c r="V78" s="88">
        <f t="shared" si="39"/>
        <v>8274</v>
      </c>
      <c r="W78" s="88">
        <f t="shared" si="39"/>
        <v>8274</v>
      </c>
      <c r="X78" s="88">
        <f t="shared" si="33"/>
        <v>425317</v>
      </c>
      <c r="Y78" s="88">
        <f t="shared" ref="Y78:AQ78" si="40">SUM(Y49:Y77)</f>
        <v>44766</v>
      </c>
      <c r="Z78" s="88">
        <f t="shared" si="40"/>
        <v>2320</v>
      </c>
      <c r="AA78" s="88">
        <f t="shared" si="40"/>
        <v>1688.9574700544949</v>
      </c>
      <c r="AB78" s="88">
        <f t="shared" si="40"/>
        <v>48774.957470054498</v>
      </c>
      <c r="AC78" s="88">
        <f t="shared" si="40"/>
        <v>148184</v>
      </c>
      <c r="AD78" s="88">
        <f t="shared" si="40"/>
        <v>0</v>
      </c>
      <c r="AE78" s="88">
        <f t="shared" si="40"/>
        <v>1248059.8649886874</v>
      </c>
      <c r="AF78" s="88">
        <f t="shared" si="40"/>
        <v>896369.04252994549</v>
      </c>
      <c r="AG78" s="88">
        <f t="shared" si="40"/>
        <v>1046242</v>
      </c>
      <c r="AH78" s="88">
        <f t="shared" si="40"/>
        <v>1044960</v>
      </c>
      <c r="AI78" s="88">
        <f t="shared" si="40"/>
        <v>1040460</v>
      </c>
      <c r="AJ78" s="88">
        <f t="shared" si="40"/>
        <v>0</v>
      </c>
      <c r="AK78" s="88">
        <f t="shared" si="40"/>
        <v>509353</v>
      </c>
      <c r="AL78" s="88">
        <f t="shared" si="40"/>
        <v>134000</v>
      </c>
      <c r="AM78" s="88">
        <f t="shared" si="40"/>
        <v>134000</v>
      </c>
      <c r="AN78" s="88">
        <f t="shared" si="40"/>
        <v>134000</v>
      </c>
      <c r="AO78" s="88">
        <f t="shared" si="40"/>
        <v>134000</v>
      </c>
      <c r="AP78" s="88">
        <f t="shared" si="40"/>
        <v>1045353</v>
      </c>
      <c r="AQ78" s="273">
        <f t="shared" si="40"/>
        <v>896820</v>
      </c>
    </row>
    <row r="79" spans="1:60" s="8" customFormat="1" ht="45" customHeight="1" x14ac:dyDescent="0.8">
      <c r="A79" s="66">
        <v>3.2</v>
      </c>
      <c r="B79" s="335" t="s">
        <v>529</v>
      </c>
      <c r="C79" s="336"/>
      <c r="D79" s="336"/>
      <c r="E79" s="336"/>
      <c r="F79" s="336"/>
      <c r="G79" s="336"/>
      <c r="H79" s="336"/>
      <c r="I79" s="336"/>
      <c r="J79" s="336"/>
      <c r="K79" s="336"/>
      <c r="L79" s="336"/>
      <c r="M79" s="336"/>
      <c r="N79" s="336"/>
      <c r="O79" s="336"/>
      <c r="P79" s="336"/>
      <c r="Q79" s="336"/>
      <c r="R79" s="336"/>
      <c r="S79" s="336"/>
      <c r="T79" s="336"/>
      <c r="U79" s="336"/>
      <c r="V79" s="336"/>
      <c r="W79" s="336"/>
      <c r="X79" s="336"/>
      <c r="Y79" s="336"/>
      <c r="Z79" s="336"/>
      <c r="AA79" s="336"/>
      <c r="AB79" s="336"/>
      <c r="AC79" s="336"/>
      <c r="AD79" s="336"/>
      <c r="AE79" s="336"/>
      <c r="AF79" s="336"/>
      <c r="AG79" s="336"/>
      <c r="AH79" s="222"/>
      <c r="AI79" s="222"/>
      <c r="AJ79" s="222"/>
      <c r="AK79" s="222"/>
      <c r="AL79" s="222"/>
      <c r="AM79" s="222"/>
      <c r="AN79" s="222"/>
      <c r="AO79" s="222"/>
      <c r="AP79" s="222"/>
      <c r="AQ79" s="272"/>
      <c r="AR79" s="271"/>
      <c r="AS79" s="271"/>
    </row>
    <row r="80" spans="1:60" ht="45" customHeight="1" x14ac:dyDescent="1.1000000000000001">
      <c r="A80" s="81" t="s">
        <v>530</v>
      </c>
      <c r="B80" s="81" t="s">
        <v>531</v>
      </c>
      <c r="C80" s="89" t="s">
        <v>532</v>
      </c>
      <c r="D80" s="85" t="s">
        <v>387</v>
      </c>
      <c r="E80" s="51" t="s">
        <v>288</v>
      </c>
      <c r="F80" s="51" t="s">
        <v>533</v>
      </c>
      <c r="G80" s="51" t="s">
        <v>534</v>
      </c>
      <c r="H80" s="183">
        <v>33729.583726673998</v>
      </c>
      <c r="I80" s="184">
        <v>8267.6967805252389</v>
      </c>
      <c r="J80" s="184">
        <v>4147.6665906398757</v>
      </c>
      <c r="K80" s="184">
        <v>720.0180004500113</v>
      </c>
      <c r="L80" s="184">
        <v>11964.299107477687</v>
      </c>
      <c r="M80" s="184">
        <v>8629.9032475811891</v>
      </c>
      <c r="N80" s="184">
        <f>SUM(J80:M80)</f>
        <v>25461.886946148763</v>
      </c>
      <c r="O80" s="185"/>
      <c r="P80" s="185"/>
      <c r="Q80" s="226"/>
      <c r="R80" s="184"/>
      <c r="S80" s="184">
        <f t="shared" ref="S80:S85" si="41">Q80+R80</f>
        <v>0</v>
      </c>
      <c r="T80" s="184"/>
      <c r="U80" s="184"/>
      <c r="V80" s="184"/>
      <c r="W80" s="184">
        <f t="shared" ref="W80:W85" si="42">T80+U80+V80</f>
        <v>0</v>
      </c>
      <c r="X80" s="185">
        <f t="shared" ref="X80:X86" si="43">W80+S80+P80+O80</f>
        <v>0</v>
      </c>
      <c r="Y80" s="184">
        <v>0</v>
      </c>
      <c r="Z80" s="184">
        <v>0</v>
      </c>
      <c r="AA80" s="184"/>
      <c r="AB80" s="184">
        <f t="shared" ref="AB80:AB85" si="44">Y80+Z80+AA80</f>
        <v>0</v>
      </c>
      <c r="AC80" s="184"/>
      <c r="AD80" s="184"/>
      <c r="AE80" s="184">
        <f t="shared" ref="AE80:AE85" si="45">I80+N80+X80+AB80+AC80+AD80</f>
        <v>33729.583726673998</v>
      </c>
      <c r="AF80" s="184">
        <f t="shared" ref="AF80:AF85" si="46">H80-(I80+N80+X80+AB80+AC80+AD80)</f>
        <v>0</v>
      </c>
      <c r="AG80" s="184"/>
      <c r="AH80" s="185"/>
      <c r="AI80" s="28"/>
      <c r="AJ80" s="71"/>
      <c r="AK80" s="23"/>
      <c r="AL80" s="23"/>
      <c r="AM80" s="23"/>
      <c r="AN80" s="23"/>
      <c r="AO80" s="23"/>
      <c r="AP80" s="24">
        <f t="shared" ref="AP80:AP85" si="47">AJ80+AK80+AL80+AM80+AN80+AO80</f>
        <v>0</v>
      </c>
      <c r="AQ80" s="268"/>
    </row>
    <row r="81" spans="1:46" ht="45" customHeight="1" x14ac:dyDescent="1.1000000000000001">
      <c r="A81" s="81" t="s">
        <v>535</v>
      </c>
      <c r="B81" s="51" t="s">
        <v>536</v>
      </c>
      <c r="C81" s="43" t="s">
        <v>537</v>
      </c>
      <c r="D81" s="85"/>
      <c r="E81" s="42" t="s">
        <v>399</v>
      </c>
      <c r="F81" s="51"/>
      <c r="G81" s="51"/>
      <c r="H81" s="183">
        <v>0</v>
      </c>
      <c r="I81" s="184"/>
      <c r="J81" s="184"/>
      <c r="K81" s="184"/>
      <c r="L81" s="184"/>
      <c r="M81" s="184"/>
      <c r="N81" s="184"/>
      <c r="O81" s="185"/>
      <c r="P81" s="185"/>
      <c r="Q81" s="226"/>
      <c r="R81" s="184"/>
      <c r="S81" s="184">
        <f t="shared" si="41"/>
        <v>0</v>
      </c>
      <c r="T81" s="184"/>
      <c r="U81" s="184"/>
      <c r="V81" s="184"/>
      <c r="W81" s="184">
        <f t="shared" si="42"/>
        <v>0</v>
      </c>
      <c r="X81" s="185">
        <f t="shared" si="43"/>
        <v>0</v>
      </c>
      <c r="Y81" s="184">
        <v>0</v>
      </c>
      <c r="Z81" s="184">
        <v>0</v>
      </c>
      <c r="AA81" s="184"/>
      <c r="AB81" s="184">
        <f t="shared" si="44"/>
        <v>0</v>
      </c>
      <c r="AC81" s="184"/>
      <c r="AD81" s="184"/>
      <c r="AE81" s="184">
        <f t="shared" si="45"/>
        <v>0</v>
      </c>
      <c r="AF81" s="184">
        <f t="shared" si="46"/>
        <v>0</v>
      </c>
      <c r="AG81" s="184"/>
      <c r="AH81" s="185"/>
      <c r="AI81" s="28"/>
      <c r="AJ81" s="71"/>
      <c r="AK81" s="23"/>
      <c r="AL81" s="23"/>
      <c r="AM81" s="23"/>
      <c r="AN81" s="23"/>
      <c r="AO81" s="23"/>
      <c r="AP81" s="24">
        <f t="shared" si="47"/>
        <v>0</v>
      </c>
      <c r="AQ81" s="268"/>
    </row>
    <row r="82" spans="1:46" ht="45" customHeight="1" x14ac:dyDescent="1.1000000000000001">
      <c r="A82" s="81" t="s">
        <v>538</v>
      </c>
      <c r="B82" s="43" t="s">
        <v>539</v>
      </c>
      <c r="C82" s="89" t="s">
        <v>540</v>
      </c>
      <c r="D82" s="51" t="s">
        <v>441</v>
      </c>
      <c r="E82" s="42" t="s">
        <v>399</v>
      </c>
      <c r="F82" s="51"/>
      <c r="G82" s="51"/>
      <c r="H82" s="183">
        <v>0</v>
      </c>
      <c r="I82" s="184"/>
      <c r="J82" s="184"/>
      <c r="K82" s="184"/>
      <c r="L82" s="184"/>
      <c r="M82" s="184"/>
      <c r="N82" s="184">
        <f>SUM(J82:M82)</f>
        <v>0</v>
      </c>
      <c r="O82" s="185"/>
      <c r="P82" s="185"/>
      <c r="Q82" s="226"/>
      <c r="R82" s="184"/>
      <c r="S82" s="184">
        <f t="shared" si="41"/>
        <v>0</v>
      </c>
      <c r="T82" s="184"/>
      <c r="U82" s="184"/>
      <c r="V82" s="184"/>
      <c r="W82" s="184">
        <f t="shared" si="42"/>
        <v>0</v>
      </c>
      <c r="X82" s="185">
        <f t="shared" si="43"/>
        <v>0</v>
      </c>
      <c r="Y82" s="184">
        <v>0</v>
      </c>
      <c r="Z82" s="184">
        <v>0</v>
      </c>
      <c r="AA82" s="184"/>
      <c r="AB82" s="184">
        <f t="shared" si="44"/>
        <v>0</v>
      </c>
      <c r="AC82" s="184"/>
      <c r="AD82" s="184"/>
      <c r="AE82" s="184">
        <f t="shared" si="45"/>
        <v>0</v>
      </c>
      <c r="AF82" s="184">
        <f t="shared" si="46"/>
        <v>0</v>
      </c>
      <c r="AG82" s="184"/>
      <c r="AH82" s="185"/>
      <c r="AI82" s="28"/>
      <c r="AJ82" s="71"/>
      <c r="AK82" s="23"/>
      <c r="AL82" s="23"/>
      <c r="AM82" s="23"/>
      <c r="AN82" s="23"/>
      <c r="AO82" s="23"/>
      <c r="AP82" s="24">
        <f t="shared" si="47"/>
        <v>0</v>
      </c>
      <c r="AQ82" s="268"/>
    </row>
    <row r="83" spans="1:46" ht="45" customHeight="1" x14ac:dyDescent="1.1000000000000001">
      <c r="A83" s="81" t="s">
        <v>541</v>
      </c>
      <c r="B83" s="51" t="s">
        <v>542</v>
      </c>
      <c r="C83" s="43" t="s">
        <v>543</v>
      </c>
      <c r="D83" s="51" t="s">
        <v>544</v>
      </c>
      <c r="E83" s="51" t="s">
        <v>364</v>
      </c>
      <c r="F83" s="51" t="s">
        <v>545</v>
      </c>
      <c r="G83" s="51" t="s">
        <v>546</v>
      </c>
      <c r="H83" s="183">
        <v>24584.736488412211</v>
      </c>
      <c r="I83" s="184">
        <v>0</v>
      </c>
      <c r="J83" s="184">
        <v>0</v>
      </c>
      <c r="K83" s="184">
        <v>0</v>
      </c>
      <c r="L83" s="184">
        <v>12702.736488412211</v>
      </c>
      <c r="M83" s="184">
        <v>0</v>
      </c>
      <c r="N83" s="184">
        <f>SUM(J83:M83)</f>
        <v>12702.736488412211</v>
      </c>
      <c r="O83" s="185"/>
      <c r="P83" s="184">
        <f>567</f>
        <v>567</v>
      </c>
      <c r="Q83" s="227"/>
      <c r="R83" s="184">
        <v>11046</v>
      </c>
      <c r="S83" s="184">
        <f t="shared" si="41"/>
        <v>11046</v>
      </c>
      <c r="T83" s="184"/>
      <c r="U83" s="184"/>
      <c r="V83" s="184"/>
      <c r="W83" s="184">
        <f t="shared" si="42"/>
        <v>0</v>
      </c>
      <c r="X83" s="185">
        <f t="shared" si="43"/>
        <v>11613</v>
      </c>
      <c r="Y83" s="184">
        <v>0</v>
      </c>
      <c r="Z83" s="184">
        <v>0</v>
      </c>
      <c r="AA83" s="184"/>
      <c r="AB83" s="184">
        <f t="shared" si="44"/>
        <v>0</v>
      </c>
      <c r="AC83" s="184"/>
      <c r="AD83" s="184"/>
      <c r="AE83" s="184">
        <f t="shared" si="45"/>
        <v>24315.736488412211</v>
      </c>
      <c r="AF83" s="184">
        <f t="shared" si="46"/>
        <v>269</v>
      </c>
      <c r="AG83" s="185">
        <f>1284-1000-15</f>
        <v>269</v>
      </c>
      <c r="AH83" s="90">
        <v>269</v>
      </c>
      <c r="AI83" s="28"/>
      <c r="AJ83" s="25"/>
      <c r="AK83" s="23">
        <v>269</v>
      </c>
      <c r="AL83" s="23"/>
      <c r="AM83" s="23"/>
      <c r="AN83" s="23"/>
      <c r="AO83" s="23"/>
      <c r="AP83" s="24">
        <f t="shared" si="47"/>
        <v>269</v>
      </c>
      <c r="AQ83" s="270">
        <v>0</v>
      </c>
      <c r="AR83" s="262" t="s">
        <v>614</v>
      </c>
      <c r="AS83" s="269">
        <v>269</v>
      </c>
    </row>
    <row r="84" spans="1:46" ht="45" customHeight="1" x14ac:dyDescent="1.1000000000000001">
      <c r="A84" s="81" t="s">
        <v>547</v>
      </c>
      <c r="B84" s="51" t="s">
        <v>548</v>
      </c>
      <c r="C84" s="51" t="s">
        <v>549</v>
      </c>
      <c r="D84" s="51" t="s">
        <v>544</v>
      </c>
      <c r="E84" s="51" t="s">
        <v>364</v>
      </c>
      <c r="F84" s="51" t="s">
        <v>550</v>
      </c>
      <c r="G84" s="51" t="s">
        <v>551</v>
      </c>
      <c r="H84" s="183">
        <v>13380</v>
      </c>
      <c r="I84" s="184">
        <v>0</v>
      </c>
      <c r="J84" s="184">
        <v>0</v>
      </c>
      <c r="K84" s="184">
        <v>0</v>
      </c>
      <c r="L84" s="184">
        <v>0</v>
      </c>
      <c r="M84" s="184">
        <v>0</v>
      </c>
      <c r="N84" s="184">
        <f>SUM(J84:M84)</f>
        <v>0</v>
      </c>
      <c r="O84" s="185"/>
      <c r="P84" s="185"/>
      <c r="Q84" s="184">
        <f>12256</f>
        <v>12256</v>
      </c>
      <c r="R84" s="184">
        <v>1124</v>
      </c>
      <c r="S84" s="184">
        <f t="shared" si="41"/>
        <v>13380</v>
      </c>
      <c r="T84" s="184"/>
      <c r="U84" s="184"/>
      <c r="V84" s="184"/>
      <c r="W84" s="184">
        <f t="shared" si="42"/>
        <v>0</v>
      </c>
      <c r="X84" s="185">
        <f t="shared" si="43"/>
        <v>13380</v>
      </c>
      <c r="Y84" s="184">
        <v>0</v>
      </c>
      <c r="Z84" s="184">
        <v>0</v>
      </c>
      <c r="AA84" s="184"/>
      <c r="AB84" s="184">
        <f t="shared" si="44"/>
        <v>0</v>
      </c>
      <c r="AC84" s="184"/>
      <c r="AD84" s="184"/>
      <c r="AE84" s="184">
        <f t="shared" si="45"/>
        <v>13380</v>
      </c>
      <c r="AF84" s="184">
        <f t="shared" si="46"/>
        <v>0</v>
      </c>
      <c r="AG84" s="184"/>
      <c r="AH84" s="185"/>
      <c r="AI84" s="28"/>
      <c r="AJ84" s="28"/>
      <c r="AK84" s="23"/>
      <c r="AL84" s="23"/>
      <c r="AM84" s="23"/>
      <c r="AN84" s="23"/>
      <c r="AO84" s="23"/>
      <c r="AP84" s="24">
        <f t="shared" si="47"/>
        <v>0</v>
      </c>
      <c r="AQ84" s="268"/>
    </row>
    <row r="85" spans="1:46" ht="68.25" customHeight="1" x14ac:dyDescent="1.1000000000000001">
      <c r="A85" s="54" t="s">
        <v>552</v>
      </c>
      <c r="B85" s="51" t="s">
        <v>553</v>
      </c>
      <c r="C85" s="51" t="s">
        <v>554</v>
      </c>
      <c r="D85" s="51" t="s">
        <v>441</v>
      </c>
      <c r="E85" s="51" t="s">
        <v>555</v>
      </c>
      <c r="F85" s="51" t="s">
        <v>556</v>
      </c>
      <c r="G85" s="51" t="s">
        <v>557</v>
      </c>
      <c r="H85" s="183">
        <v>30520.897879857293</v>
      </c>
      <c r="I85" s="184">
        <v>0</v>
      </c>
      <c r="J85" s="184">
        <v>5969.7164235273276</v>
      </c>
      <c r="K85" s="184">
        <v>0</v>
      </c>
      <c r="L85" s="184">
        <v>9261.1814563299649</v>
      </c>
      <c r="M85" s="184">
        <v>0</v>
      </c>
      <c r="N85" s="184">
        <f>SUM(J85:M85)</f>
        <v>15230.897879857293</v>
      </c>
      <c r="O85" s="185"/>
      <c r="P85" s="185"/>
      <c r="Q85" s="184"/>
      <c r="R85" s="184">
        <v>15290</v>
      </c>
      <c r="S85" s="184">
        <f t="shared" si="41"/>
        <v>15290</v>
      </c>
      <c r="T85" s="184"/>
      <c r="U85" s="184"/>
      <c r="V85" s="184"/>
      <c r="W85" s="184">
        <f t="shared" si="42"/>
        <v>0</v>
      </c>
      <c r="X85" s="185">
        <f t="shared" si="43"/>
        <v>15290</v>
      </c>
      <c r="Y85" s="184">
        <v>0</v>
      </c>
      <c r="Z85" s="184">
        <v>0</v>
      </c>
      <c r="AA85" s="184"/>
      <c r="AB85" s="184">
        <f t="shared" si="44"/>
        <v>0</v>
      </c>
      <c r="AC85" s="184"/>
      <c r="AD85" s="184"/>
      <c r="AE85" s="184">
        <f t="shared" si="45"/>
        <v>30520.897879857293</v>
      </c>
      <c r="AF85" s="184">
        <f t="shared" si="46"/>
        <v>0</v>
      </c>
      <c r="AG85" s="184"/>
      <c r="AH85" s="185"/>
      <c r="AI85" s="28"/>
      <c r="AJ85" s="28"/>
      <c r="AK85" s="23"/>
      <c r="AL85" s="23"/>
      <c r="AM85" s="23"/>
      <c r="AN85" s="23"/>
      <c r="AO85" s="23"/>
      <c r="AP85" s="24">
        <f t="shared" si="47"/>
        <v>0</v>
      </c>
      <c r="AQ85" s="268"/>
    </row>
    <row r="86" spans="1:46" ht="45" customHeight="1" x14ac:dyDescent="0.8">
      <c r="A86" s="326" t="s">
        <v>558</v>
      </c>
      <c r="B86" s="326"/>
      <c r="C86" s="326"/>
      <c r="D86" s="326"/>
      <c r="E86" s="326"/>
      <c r="F86" s="326"/>
      <c r="G86" s="326"/>
      <c r="H86" s="65">
        <v>102215.2180949435</v>
      </c>
      <c r="I86" s="65">
        <f t="shared" ref="I86:W86" si="48">SUM(I80:I85)</f>
        <v>8267.6967805252389</v>
      </c>
      <c r="J86" s="65">
        <f t="shared" si="48"/>
        <v>10117.383014167204</v>
      </c>
      <c r="K86" s="65">
        <f t="shared" si="48"/>
        <v>720.0180004500113</v>
      </c>
      <c r="L86" s="65">
        <f t="shared" si="48"/>
        <v>33928.217052219865</v>
      </c>
      <c r="M86" s="65">
        <f t="shared" si="48"/>
        <v>8629.9032475811891</v>
      </c>
      <c r="N86" s="65">
        <f t="shared" si="48"/>
        <v>53395.521314418264</v>
      </c>
      <c r="O86" s="65">
        <f t="shared" si="48"/>
        <v>0</v>
      </c>
      <c r="P86" s="65">
        <f t="shared" si="48"/>
        <v>567</v>
      </c>
      <c r="Q86" s="65">
        <f t="shared" si="48"/>
        <v>12256</v>
      </c>
      <c r="R86" s="65">
        <f t="shared" si="48"/>
        <v>27460</v>
      </c>
      <c r="S86" s="65">
        <f t="shared" si="48"/>
        <v>39716</v>
      </c>
      <c r="T86" s="65">
        <f t="shared" si="48"/>
        <v>0</v>
      </c>
      <c r="U86" s="65">
        <f t="shared" si="48"/>
        <v>0</v>
      </c>
      <c r="V86" s="65">
        <f t="shared" si="48"/>
        <v>0</v>
      </c>
      <c r="W86" s="65">
        <f t="shared" si="48"/>
        <v>0</v>
      </c>
      <c r="X86" s="65">
        <f t="shared" si="43"/>
        <v>40283</v>
      </c>
      <c r="Y86" s="65">
        <f t="shared" ref="Y86:AQ86" si="49">SUM(Y80:Y85)</f>
        <v>0</v>
      </c>
      <c r="Z86" s="65">
        <f t="shared" si="49"/>
        <v>0</v>
      </c>
      <c r="AA86" s="65">
        <f t="shared" si="49"/>
        <v>0</v>
      </c>
      <c r="AB86" s="65">
        <f t="shared" si="49"/>
        <v>0</v>
      </c>
      <c r="AC86" s="65">
        <f t="shared" si="49"/>
        <v>0</v>
      </c>
      <c r="AD86" s="65">
        <f t="shared" si="49"/>
        <v>0</v>
      </c>
      <c r="AE86" s="65">
        <f t="shared" si="49"/>
        <v>101946.2180949435</v>
      </c>
      <c r="AF86" s="65">
        <f t="shared" si="49"/>
        <v>269</v>
      </c>
      <c r="AG86" s="65">
        <f t="shared" si="49"/>
        <v>269</v>
      </c>
      <c r="AH86" s="65">
        <f t="shared" si="49"/>
        <v>269</v>
      </c>
      <c r="AI86" s="65">
        <f t="shared" si="49"/>
        <v>0</v>
      </c>
      <c r="AJ86" s="65">
        <f t="shared" si="49"/>
        <v>0</v>
      </c>
      <c r="AK86" s="65">
        <f t="shared" si="49"/>
        <v>269</v>
      </c>
      <c r="AL86" s="65">
        <f t="shared" si="49"/>
        <v>0</v>
      </c>
      <c r="AM86" s="65">
        <f t="shared" si="49"/>
        <v>0</v>
      </c>
      <c r="AN86" s="65">
        <f t="shared" si="49"/>
        <v>0</v>
      </c>
      <c r="AO86" s="65">
        <f t="shared" si="49"/>
        <v>0</v>
      </c>
      <c r="AP86" s="65">
        <f t="shared" si="49"/>
        <v>269</v>
      </c>
      <c r="AQ86" s="267">
        <f t="shared" si="49"/>
        <v>0</v>
      </c>
    </row>
    <row r="87" spans="1:46" s="92" customFormat="1" ht="45" customHeight="1" x14ac:dyDescent="0.65">
      <c r="A87" s="327" t="s">
        <v>559</v>
      </c>
      <c r="B87" s="327"/>
      <c r="C87" s="327"/>
      <c r="D87" s="327"/>
      <c r="E87" s="327" t="s">
        <v>559</v>
      </c>
      <c r="F87" s="327"/>
      <c r="G87" s="327"/>
      <c r="H87" s="91">
        <v>2246644.1256135763</v>
      </c>
      <c r="I87" s="91">
        <f t="shared" ref="I87:AQ87" si="50">I78+I86</f>
        <v>163464.14807517765</v>
      </c>
      <c r="J87" s="91">
        <f t="shared" si="50"/>
        <v>231632.78779061165</v>
      </c>
      <c r="K87" s="91">
        <f t="shared" si="50"/>
        <v>84377.121428035709</v>
      </c>
      <c r="L87" s="91">
        <f t="shared" si="50"/>
        <v>87613.41707847052</v>
      </c>
      <c r="M87" s="91">
        <f t="shared" si="50"/>
        <v>120359.65124128103</v>
      </c>
      <c r="N87" s="91">
        <f t="shared" si="50"/>
        <v>523982.97753839893</v>
      </c>
      <c r="O87" s="91">
        <f t="shared" si="50"/>
        <v>97960</v>
      </c>
      <c r="P87" s="91">
        <f t="shared" si="50"/>
        <v>179697</v>
      </c>
      <c r="Q87" s="91">
        <f t="shared" si="50"/>
        <v>138263</v>
      </c>
      <c r="R87" s="91">
        <f t="shared" si="50"/>
        <v>41406</v>
      </c>
      <c r="S87" s="91">
        <f t="shared" si="50"/>
        <v>179669</v>
      </c>
      <c r="T87" s="91">
        <f t="shared" si="50"/>
        <v>0</v>
      </c>
      <c r="U87" s="91">
        <f t="shared" si="50"/>
        <v>0</v>
      </c>
      <c r="V87" s="91">
        <f t="shared" si="50"/>
        <v>8274</v>
      </c>
      <c r="W87" s="91">
        <f t="shared" si="50"/>
        <v>8274</v>
      </c>
      <c r="X87" s="91">
        <f t="shared" si="50"/>
        <v>465600</v>
      </c>
      <c r="Y87" s="91">
        <f t="shared" si="50"/>
        <v>44766</v>
      </c>
      <c r="Z87" s="91">
        <f t="shared" si="50"/>
        <v>2320</v>
      </c>
      <c r="AA87" s="91">
        <f t="shared" si="50"/>
        <v>1688.9574700544949</v>
      </c>
      <c r="AB87" s="91">
        <f t="shared" si="50"/>
        <v>48774.957470054498</v>
      </c>
      <c r="AC87" s="91">
        <f t="shared" si="50"/>
        <v>148184</v>
      </c>
      <c r="AD87" s="91">
        <f t="shared" si="50"/>
        <v>0</v>
      </c>
      <c r="AE87" s="91">
        <f t="shared" si="50"/>
        <v>1350006.083083631</v>
      </c>
      <c r="AF87" s="91">
        <f t="shared" si="50"/>
        <v>896638.04252994549</v>
      </c>
      <c r="AG87" s="91">
        <f t="shared" si="50"/>
        <v>1046511</v>
      </c>
      <c r="AH87" s="91">
        <f t="shared" si="50"/>
        <v>1045229</v>
      </c>
      <c r="AI87" s="91">
        <f t="shared" si="50"/>
        <v>1040460</v>
      </c>
      <c r="AJ87" s="91">
        <f t="shared" si="50"/>
        <v>0</v>
      </c>
      <c r="AK87" s="91">
        <f t="shared" si="50"/>
        <v>509622</v>
      </c>
      <c r="AL87" s="91">
        <f t="shared" si="50"/>
        <v>134000</v>
      </c>
      <c r="AM87" s="91">
        <f t="shared" si="50"/>
        <v>134000</v>
      </c>
      <c r="AN87" s="91">
        <f t="shared" si="50"/>
        <v>134000</v>
      </c>
      <c r="AO87" s="91">
        <f t="shared" si="50"/>
        <v>134000</v>
      </c>
      <c r="AP87" s="91">
        <f t="shared" si="50"/>
        <v>1045622</v>
      </c>
      <c r="AQ87" s="266">
        <f t="shared" si="50"/>
        <v>896820</v>
      </c>
      <c r="AR87" s="265"/>
      <c r="AS87" s="265"/>
    </row>
    <row r="88" spans="1:46" s="53" customFormat="1" ht="45" customHeight="1" x14ac:dyDescent="0.8">
      <c r="A88" s="328" t="s">
        <v>560</v>
      </c>
      <c r="B88" s="328"/>
      <c r="C88" s="328"/>
      <c r="D88" s="328"/>
      <c r="E88" s="328" t="s">
        <v>561</v>
      </c>
      <c r="F88" s="328"/>
      <c r="G88" s="328"/>
      <c r="H88" s="93">
        <v>3500000.3961762721</v>
      </c>
      <c r="I88" s="93">
        <f t="shared" ref="I88:AQ88" si="51">I17+I46+I87</f>
        <v>253964.54213062377</v>
      </c>
      <c r="J88" s="93">
        <f t="shared" si="51"/>
        <v>384271.13982035569</v>
      </c>
      <c r="K88" s="93">
        <f t="shared" si="51"/>
        <v>108560.07852696319</v>
      </c>
      <c r="L88" s="93">
        <f t="shared" si="51"/>
        <v>258775.25520106708</v>
      </c>
      <c r="M88" s="93">
        <f t="shared" si="51"/>
        <v>160918.89049726242</v>
      </c>
      <c r="N88" s="93">
        <f t="shared" si="51"/>
        <v>912525.36404564837</v>
      </c>
      <c r="O88" s="93">
        <f t="shared" si="51"/>
        <v>214854</v>
      </c>
      <c r="P88" s="93">
        <f t="shared" si="51"/>
        <v>247321</v>
      </c>
      <c r="Q88" s="93">
        <f t="shared" si="51"/>
        <v>195724.43</v>
      </c>
      <c r="R88" s="93">
        <f t="shared" si="51"/>
        <v>141811</v>
      </c>
      <c r="S88" s="93">
        <f t="shared" si="51"/>
        <v>337535.43</v>
      </c>
      <c r="T88" s="93">
        <f t="shared" si="51"/>
        <v>4483</v>
      </c>
      <c r="U88" s="93">
        <f t="shared" si="51"/>
        <v>22226</v>
      </c>
      <c r="V88" s="93">
        <f t="shared" si="51"/>
        <v>9264</v>
      </c>
      <c r="W88" s="93">
        <f t="shared" si="51"/>
        <v>35973</v>
      </c>
      <c r="X88" s="93">
        <f t="shared" si="51"/>
        <v>835683.42999999993</v>
      </c>
      <c r="Y88" s="93">
        <f t="shared" si="51"/>
        <v>86662</v>
      </c>
      <c r="Z88" s="93">
        <f t="shared" si="51"/>
        <v>20639.27</v>
      </c>
      <c r="AA88" s="93">
        <f t="shared" si="51"/>
        <v>24800.790727885629</v>
      </c>
      <c r="AB88" s="93">
        <f t="shared" si="51"/>
        <v>132102.06072788563</v>
      </c>
      <c r="AC88" s="93">
        <f t="shared" si="51"/>
        <v>177578.33213196008</v>
      </c>
      <c r="AD88" s="93">
        <f t="shared" si="51"/>
        <v>14777.2622813212</v>
      </c>
      <c r="AE88" s="93">
        <f t="shared" si="51"/>
        <v>2326630.9913174389</v>
      </c>
      <c r="AF88" s="93">
        <f t="shared" si="51"/>
        <v>1173369.4048588332</v>
      </c>
      <c r="AG88" s="93">
        <f t="shared" si="51"/>
        <v>1390533</v>
      </c>
      <c r="AH88" s="94">
        <f t="shared" si="51"/>
        <v>1390397</v>
      </c>
      <c r="AI88" s="94">
        <f t="shared" si="51"/>
        <v>1382628</v>
      </c>
      <c r="AJ88" s="94">
        <f t="shared" si="51"/>
        <v>0</v>
      </c>
      <c r="AK88" s="94">
        <f t="shared" si="51"/>
        <v>587455</v>
      </c>
      <c r="AL88" s="94">
        <f t="shared" si="51"/>
        <v>224235</v>
      </c>
      <c r="AM88" s="94">
        <f t="shared" si="51"/>
        <v>222349</v>
      </c>
      <c r="AN88" s="94">
        <f t="shared" si="51"/>
        <v>157350</v>
      </c>
      <c r="AO88" s="94">
        <f t="shared" si="51"/>
        <v>199559</v>
      </c>
      <c r="AP88" s="94">
        <f t="shared" si="51"/>
        <v>1390948</v>
      </c>
      <c r="AQ88" s="264">
        <f t="shared" si="51"/>
        <v>1173369</v>
      </c>
      <c r="AR88" s="263"/>
      <c r="AS88" s="263">
        <f>AF88-AQ88</f>
        <v>0.40485883317887783</v>
      </c>
      <c r="AT88" s="95"/>
    </row>
    <row r="89" spans="1:46" ht="45" customHeight="1" x14ac:dyDescent="0.8">
      <c r="R89" s="9"/>
      <c r="S89" s="9"/>
      <c r="T89" s="9"/>
      <c r="U89" s="9"/>
      <c r="V89" s="53"/>
      <c r="W89" s="9"/>
      <c r="X89" s="9"/>
      <c r="Y89" s="9"/>
      <c r="Z89" s="9"/>
      <c r="AA89" s="53"/>
      <c r="AB89" s="53"/>
      <c r="AC89" s="53"/>
      <c r="AD89" s="53"/>
      <c r="AE89" s="53"/>
      <c r="AF89" s="53"/>
      <c r="AG89" s="9"/>
      <c r="AH89" s="9"/>
      <c r="AI89" s="9"/>
      <c r="AR89" s="263"/>
    </row>
    <row r="90" spans="1:46" ht="45" customHeight="1" x14ac:dyDescent="1.5">
      <c r="B90" s="97"/>
      <c r="H90" s="53"/>
      <c r="N90" s="9"/>
      <c r="R90" s="9"/>
      <c r="S90" s="9"/>
      <c r="T90" s="53"/>
      <c r="U90" s="9"/>
      <c r="V90" s="9"/>
      <c r="W90" s="9"/>
      <c r="X90" s="9"/>
      <c r="Y90" s="53"/>
      <c r="Z90" s="53"/>
      <c r="AA90" s="53"/>
      <c r="AB90" s="53"/>
      <c r="AC90" s="53"/>
      <c r="AD90" s="53"/>
      <c r="AE90" s="53"/>
      <c r="AF90" s="9"/>
      <c r="AG90" s="9"/>
      <c r="AH90" s="9"/>
      <c r="AI90" s="9"/>
      <c r="AK90" s="9"/>
      <c r="AL90" s="9"/>
      <c r="AM90" s="9"/>
      <c r="AN90" s="9"/>
      <c r="AO90" s="9"/>
    </row>
    <row r="91" spans="1:46" ht="45" customHeight="1" x14ac:dyDescent="1.5">
      <c r="B91" s="97" t="s">
        <v>638</v>
      </c>
      <c r="H91" s="53"/>
      <c r="N91" s="9"/>
      <c r="R91" s="9"/>
      <c r="S91" s="53">
        <f>S88+W88+AB88+AC88+AD88</f>
        <v>697966.08514116693</v>
      </c>
      <c r="T91" s="9"/>
      <c r="U91" s="9"/>
      <c r="V91" s="9"/>
      <c r="W91" s="9"/>
      <c r="X91" s="9"/>
      <c r="Y91" s="9"/>
      <c r="Z91" s="9"/>
      <c r="AA91" s="53"/>
      <c r="AB91" s="53"/>
      <c r="AC91" s="53"/>
      <c r="AD91" s="53"/>
      <c r="AE91" s="53"/>
      <c r="AF91" s="53"/>
      <c r="AG91" s="53"/>
      <c r="AH91" s="9"/>
      <c r="AI91" s="9"/>
      <c r="AK91" s="9"/>
      <c r="AL91" s="9"/>
      <c r="AM91" s="9"/>
      <c r="AN91" s="9"/>
      <c r="AO91" s="9"/>
    </row>
    <row r="92" spans="1:46" ht="45" customHeight="1" x14ac:dyDescent="1.5">
      <c r="B92" s="97"/>
      <c r="H92" s="53"/>
      <c r="N92" s="9"/>
      <c r="R92" s="9"/>
      <c r="S92" s="9"/>
      <c r="T92" s="9"/>
      <c r="U92" s="9"/>
      <c r="V92" s="9"/>
      <c r="W92" s="9"/>
      <c r="X92" s="9"/>
      <c r="Y92" s="9"/>
      <c r="Z92" s="9"/>
      <c r="AA92" s="53"/>
      <c r="AB92" s="9"/>
      <c r="AC92" s="53"/>
      <c r="AD92" s="53"/>
      <c r="AE92" s="9"/>
      <c r="AF92" s="9"/>
      <c r="AG92" s="9"/>
      <c r="AH92" s="9"/>
      <c r="AI92" s="9"/>
      <c r="AK92" s="9"/>
      <c r="AL92" s="9"/>
      <c r="AM92" s="9"/>
      <c r="AN92" s="9"/>
      <c r="AO92" s="9"/>
    </row>
    <row r="93" spans="1:46" ht="45" customHeight="1" x14ac:dyDescent="1.5">
      <c r="B93" s="97"/>
      <c r="H93" s="53"/>
      <c r="N93" s="9"/>
      <c r="R93" s="9"/>
      <c r="S93" s="9"/>
      <c r="T93" s="9"/>
      <c r="U93" s="9"/>
      <c r="V93" s="9"/>
      <c r="W93" s="9"/>
      <c r="X93" s="9"/>
      <c r="Y93" s="9"/>
      <c r="Z93" s="9"/>
      <c r="AA93" s="53"/>
      <c r="AB93" s="9"/>
      <c r="AC93" s="9"/>
      <c r="AD93" s="9"/>
      <c r="AE93" s="9"/>
      <c r="AF93" s="9"/>
      <c r="AG93" s="9"/>
      <c r="AH93" s="9"/>
      <c r="AI93" s="9"/>
      <c r="AK93" s="9"/>
      <c r="AL93" s="9"/>
      <c r="AM93" s="9"/>
      <c r="AN93" s="9"/>
      <c r="AO93" s="9"/>
    </row>
    <row r="94" spans="1:46" ht="45" customHeight="1" x14ac:dyDescent="1.5">
      <c r="B94" s="97"/>
      <c r="H94" s="53"/>
      <c r="N94" s="9"/>
      <c r="R94" s="9"/>
      <c r="S94" s="9"/>
      <c r="T94" s="9"/>
      <c r="U94" s="9"/>
      <c r="V94" s="9"/>
      <c r="W94" s="9"/>
      <c r="X94" s="9"/>
      <c r="Y94" s="9"/>
      <c r="Z94" s="9"/>
      <c r="AA94" s="9"/>
      <c r="AB94" s="9"/>
      <c r="AC94" s="9"/>
      <c r="AD94" s="9"/>
      <c r="AE94" s="9"/>
      <c r="AF94" s="9"/>
      <c r="AG94" s="9"/>
      <c r="AH94" s="9"/>
      <c r="AI94" s="9"/>
      <c r="AK94" s="9"/>
      <c r="AL94" s="9"/>
      <c r="AM94" s="9"/>
      <c r="AN94" s="9"/>
      <c r="AO94" s="9"/>
    </row>
    <row r="95" spans="1:46" ht="45" customHeight="1" x14ac:dyDescent="0.8">
      <c r="N95" s="9"/>
      <c r="R95" s="9"/>
      <c r="S95" s="9"/>
      <c r="T95" s="9"/>
      <c r="U95" s="9"/>
      <c r="V95" s="9"/>
      <c r="W95" s="9"/>
      <c r="X95" s="9"/>
      <c r="Y95" s="9"/>
      <c r="Z95" s="9"/>
      <c r="AA95" s="9"/>
      <c r="AB95" s="9"/>
      <c r="AC95" s="9"/>
      <c r="AD95" s="9"/>
      <c r="AE95" s="9"/>
      <c r="AF95" s="9"/>
      <c r="AG95" s="9"/>
      <c r="AH95" s="9"/>
      <c r="AI95" s="9"/>
      <c r="AK95" s="9"/>
      <c r="AL95" s="9"/>
      <c r="AM95" s="9"/>
      <c r="AN95" s="9"/>
      <c r="AO95" s="9"/>
    </row>
    <row r="96" spans="1:46" ht="45" customHeight="1" x14ac:dyDescent="0.8">
      <c r="N96" s="9"/>
      <c r="R96" s="9"/>
      <c r="S96" s="9"/>
      <c r="T96" s="9"/>
      <c r="U96" s="9"/>
      <c r="V96" s="9"/>
      <c r="W96" s="9"/>
      <c r="X96" s="9"/>
      <c r="Y96" s="9"/>
      <c r="Z96" s="9"/>
      <c r="AA96" s="9"/>
      <c r="AB96" s="9"/>
      <c r="AC96" s="9"/>
      <c r="AD96" s="9"/>
      <c r="AE96" s="9"/>
      <c r="AF96" s="9"/>
      <c r="AG96" s="9"/>
      <c r="AH96" s="9"/>
      <c r="AI96" s="9"/>
      <c r="AK96" s="9"/>
      <c r="AL96" s="9"/>
      <c r="AM96" s="9"/>
      <c r="AN96" s="9"/>
      <c r="AO96" s="9"/>
    </row>
    <row r="97" spans="14:41" ht="45" customHeight="1" x14ac:dyDescent="0.8">
      <c r="N97" s="9"/>
      <c r="R97" s="9"/>
      <c r="S97" s="9"/>
      <c r="T97" s="9"/>
      <c r="U97" s="9"/>
      <c r="V97" s="9"/>
      <c r="W97" s="9"/>
      <c r="X97" s="9"/>
      <c r="Y97" s="9"/>
      <c r="Z97" s="9"/>
      <c r="AA97" s="53"/>
      <c r="AB97" s="9"/>
      <c r="AC97" s="9"/>
      <c r="AD97" s="9"/>
      <c r="AE97" s="9"/>
      <c r="AF97" s="9"/>
      <c r="AG97" s="9"/>
      <c r="AH97" s="9"/>
      <c r="AI97" s="9"/>
      <c r="AK97" s="9"/>
      <c r="AL97" s="9"/>
      <c r="AM97" s="9"/>
      <c r="AN97" s="9"/>
      <c r="AO97" s="9"/>
    </row>
    <row r="98" spans="14:41" ht="45" customHeight="1" x14ac:dyDescent="0.8">
      <c r="N98" s="9"/>
      <c r="R98" s="9"/>
      <c r="S98" s="9"/>
      <c r="T98" s="9"/>
      <c r="U98" s="9"/>
      <c r="V98" s="9"/>
      <c r="W98" s="9"/>
      <c r="X98" s="9"/>
      <c r="Y98" s="9"/>
      <c r="Z98" s="9"/>
      <c r="AA98" s="9"/>
      <c r="AB98" s="9"/>
      <c r="AC98" s="9"/>
      <c r="AD98" s="9"/>
      <c r="AE98" s="9"/>
      <c r="AF98" s="9"/>
      <c r="AG98" s="9"/>
      <c r="AH98" s="9"/>
      <c r="AI98" s="9"/>
      <c r="AK98" s="9"/>
      <c r="AL98" s="9"/>
      <c r="AM98" s="9"/>
      <c r="AN98" s="9"/>
      <c r="AO98" s="9"/>
    </row>
    <row r="99" spans="14:41" ht="45" customHeight="1" x14ac:dyDescent="0.8">
      <c r="N99" s="9"/>
      <c r="R99" s="9"/>
      <c r="S99" s="9"/>
      <c r="T99" s="9"/>
      <c r="U99" s="9"/>
      <c r="V99" s="9"/>
      <c r="W99" s="9"/>
      <c r="X99" s="9"/>
      <c r="Y99" s="9"/>
      <c r="Z99" s="9"/>
      <c r="AA99" s="9"/>
      <c r="AB99" s="9"/>
      <c r="AC99" s="9"/>
      <c r="AD99" s="9"/>
      <c r="AE99" s="9"/>
      <c r="AF99" s="9"/>
      <c r="AG99" s="9"/>
      <c r="AH99" s="9"/>
      <c r="AI99" s="9"/>
      <c r="AK99" s="9"/>
      <c r="AL99" s="9"/>
      <c r="AM99" s="9"/>
      <c r="AN99" s="9"/>
      <c r="AO99" s="9"/>
    </row>
    <row r="100" spans="14:41" ht="45" customHeight="1" x14ac:dyDescent="0.8">
      <c r="N100" s="9"/>
      <c r="R100" s="9"/>
      <c r="S100" s="9"/>
      <c r="T100" s="9"/>
      <c r="U100" s="9"/>
      <c r="V100" s="9"/>
      <c r="W100" s="9"/>
      <c r="X100" s="9"/>
      <c r="Y100" s="9"/>
      <c r="Z100" s="9"/>
      <c r="AA100" s="9"/>
      <c r="AB100" s="9"/>
      <c r="AC100" s="9"/>
      <c r="AD100" s="9"/>
      <c r="AE100" s="9"/>
      <c r="AF100" s="9"/>
      <c r="AG100" s="9"/>
      <c r="AH100" s="9"/>
      <c r="AI100" s="9"/>
      <c r="AK100" s="9"/>
      <c r="AL100" s="9"/>
      <c r="AM100" s="9"/>
      <c r="AN100" s="9"/>
      <c r="AO100" s="9"/>
    </row>
    <row r="101" spans="14:41" ht="45" customHeight="1" x14ac:dyDescent="0.8">
      <c r="N101" s="9"/>
      <c r="R101" s="9"/>
      <c r="S101" s="9"/>
      <c r="T101" s="9"/>
      <c r="U101" s="9"/>
      <c r="V101" s="9"/>
      <c r="W101" s="9"/>
      <c r="X101" s="9"/>
      <c r="Y101" s="9"/>
      <c r="Z101" s="9"/>
      <c r="AA101" s="9"/>
      <c r="AB101" s="9"/>
      <c r="AC101" s="9"/>
      <c r="AD101" s="9"/>
      <c r="AE101" s="9"/>
      <c r="AF101" s="9"/>
      <c r="AG101" s="9"/>
      <c r="AH101" s="9"/>
      <c r="AI101" s="9"/>
      <c r="AK101" s="9"/>
      <c r="AL101" s="9"/>
      <c r="AM101" s="9"/>
      <c r="AN101" s="9"/>
      <c r="AO101" s="9"/>
    </row>
    <row r="102" spans="14:41" ht="45" customHeight="1" x14ac:dyDescent="0.8">
      <c r="N102" s="9"/>
      <c r="R102" s="9"/>
      <c r="S102" s="9"/>
      <c r="T102" s="9"/>
      <c r="U102" s="9"/>
      <c r="V102" s="9"/>
      <c r="W102" s="9"/>
      <c r="X102" s="9"/>
      <c r="Y102" s="9"/>
      <c r="Z102" s="9"/>
      <c r="AA102" s="9"/>
      <c r="AB102" s="9"/>
      <c r="AC102" s="9"/>
      <c r="AD102" s="9"/>
      <c r="AE102" s="9"/>
      <c r="AF102" s="9"/>
      <c r="AG102" s="9"/>
      <c r="AH102" s="9"/>
      <c r="AI102" s="9"/>
      <c r="AK102" s="9"/>
      <c r="AL102" s="9"/>
      <c r="AM102" s="9"/>
      <c r="AN102" s="9"/>
      <c r="AO102" s="9"/>
    </row>
    <row r="103" spans="14:41" ht="45" customHeight="1" x14ac:dyDescent="0.8">
      <c r="N103" s="9"/>
      <c r="R103" s="9"/>
      <c r="S103" s="9"/>
      <c r="T103" s="9"/>
      <c r="U103" s="9"/>
      <c r="V103" s="9"/>
      <c r="W103" s="9"/>
      <c r="X103" s="9"/>
      <c r="Y103" s="9"/>
      <c r="Z103" s="9"/>
      <c r="AA103" s="9"/>
      <c r="AB103" s="9"/>
      <c r="AC103" s="9"/>
      <c r="AD103" s="9"/>
      <c r="AE103" s="9"/>
      <c r="AF103" s="9"/>
      <c r="AG103" s="9"/>
      <c r="AH103" s="9"/>
      <c r="AI103" s="9"/>
      <c r="AK103" s="9"/>
      <c r="AL103" s="9"/>
      <c r="AM103" s="9"/>
      <c r="AN103" s="9"/>
      <c r="AO103" s="9"/>
    </row>
    <row r="104" spans="14:41" ht="45" customHeight="1" x14ac:dyDescent="0.8">
      <c r="N104" s="9"/>
      <c r="R104" s="9"/>
      <c r="S104" s="9"/>
      <c r="T104" s="9"/>
      <c r="U104" s="9"/>
      <c r="V104" s="9"/>
      <c r="W104" s="9"/>
      <c r="X104" s="9"/>
      <c r="Y104" s="9"/>
      <c r="Z104" s="9"/>
      <c r="AA104" s="9"/>
      <c r="AB104" s="9"/>
      <c r="AC104" s="9"/>
      <c r="AD104" s="9"/>
      <c r="AE104" s="9"/>
      <c r="AF104" s="9"/>
      <c r="AG104" s="9"/>
      <c r="AH104" s="9"/>
      <c r="AI104" s="9"/>
      <c r="AK104" s="9"/>
      <c r="AL104" s="9"/>
      <c r="AM104" s="9"/>
      <c r="AN104" s="9"/>
      <c r="AO104" s="9"/>
    </row>
    <row r="105" spans="14:41" ht="45" customHeight="1" x14ac:dyDescent="0.8">
      <c r="N105" s="9"/>
      <c r="R105" s="9"/>
      <c r="S105" s="9"/>
      <c r="T105" s="9"/>
      <c r="U105" s="9"/>
      <c r="V105" s="9"/>
      <c r="W105" s="9"/>
      <c r="X105" s="9"/>
      <c r="Y105" s="9"/>
      <c r="Z105" s="9"/>
      <c r="AA105" s="9"/>
      <c r="AB105" s="9"/>
      <c r="AC105" s="9"/>
      <c r="AD105" s="9"/>
      <c r="AE105" s="9"/>
      <c r="AF105" s="9"/>
      <c r="AG105" s="9"/>
      <c r="AH105" s="9"/>
      <c r="AI105" s="9"/>
      <c r="AK105" s="9"/>
      <c r="AL105" s="9"/>
      <c r="AM105" s="9"/>
      <c r="AN105" s="9"/>
      <c r="AO105" s="9"/>
    </row>
    <row r="106" spans="14:41" ht="45" customHeight="1" x14ac:dyDescent="0.8">
      <c r="N106" s="9"/>
      <c r="R106" s="9"/>
      <c r="S106" s="9"/>
      <c r="T106" s="9"/>
      <c r="U106" s="9"/>
      <c r="V106" s="9"/>
      <c r="W106" s="9"/>
      <c r="X106" s="9"/>
      <c r="Y106" s="9"/>
      <c r="Z106" s="9"/>
      <c r="AA106" s="9"/>
      <c r="AB106" s="9"/>
      <c r="AC106" s="9"/>
      <c r="AD106" s="9"/>
      <c r="AE106" s="9"/>
      <c r="AF106" s="9"/>
      <c r="AG106" s="9"/>
      <c r="AH106" s="9"/>
      <c r="AI106" s="9"/>
      <c r="AK106" s="9"/>
      <c r="AL106" s="9"/>
      <c r="AM106" s="9"/>
      <c r="AN106" s="9"/>
      <c r="AO106" s="9"/>
    </row>
    <row r="107" spans="14:41" ht="45" customHeight="1" x14ac:dyDescent="0.8">
      <c r="N107" s="9"/>
      <c r="R107" s="9"/>
      <c r="S107" s="9"/>
      <c r="T107" s="9"/>
      <c r="U107" s="9"/>
      <c r="V107" s="9"/>
      <c r="W107" s="9"/>
      <c r="X107" s="9"/>
      <c r="Y107" s="9"/>
      <c r="Z107" s="9"/>
      <c r="AA107" s="9"/>
      <c r="AB107" s="9"/>
      <c r="AC107" s="9"/>
      <c r="AD107" s="9"/>
      <c r="AE107" s="9"/>
      <c r="AF107" s="9"/>
      <c r="AG107" s="9"/>
      <c r="AH107" s="9"/>
      <c r="AI107" s="9"/>
      <c r="AK107" s="9"/>
      <c r="AL107" s="9"/>
      <c r="AM107" s="9"/>
      <c r="AN107" s="9"/>
      <c r="AO107" s="9"/>
    </row>
    <row r="108" spans="14:41" ht="45" customHeight="1" x14ac:dyDescent="0.8">
      <c r="N108" s="9"/>
      <c r="R108" s="9"/>
      <c r="S108" s="9"/>
      <c r="T108" s="9"/>
      <c r="U108" s="9"/>
      <c r="V108" s="9"/>
      <c r="W108" s="9"/>
      <c r="X108" s="9"/>
      <c r="Y108" s="9"/>
      <c r="Z108" s="9"/>
      <c r="AA108" s="9"/>
      <c r="AB108" s="9"/>
      <c r="AC108" s="9"/>
      <c r="AD108" s="9"/>
      <c r="AE108" s="9"/>
      <c r="AF108" s="9"/>
      <c r="AG108" s="9"/>
      <c r="AH108" s="9"/>
      <c r="AI108" s="9"/>
      <c r="AK108" s="9"/>
      <c r="AL108" s="9"/>
      <c r="AM108" s="9"/>
      <c r="AN108" s="9"/>
      <c r="AO108" s="9"/>
    </row>
    <row r="109" spans="14:41" ht="45" customHeight="1" x14ac:dyDescent="0.8">
      <c r="N109" s="9"/>
      <c r="R109" s="9"/>
      <c r="S109" s="9"/>
      <c r="T109" s="9"/>
      <c r="U109" s="9"/>
      <c r="V109" s="9"/>
      <c r="W109" s="9"/>
      <c r="X109" s="9"/>
      <c r="Y109" s="9"/>
      <c r="Z109" s="9"/>
      <c r="AA109" s="9"/>
      <c r="AB109" s="9"/>
      <c r="AC109" s="9"/>
      <c r="AD109" s="9"/>
      <c r="AE109" s="9"/>
      <c r="AF109" s="9"/>
      <c r="AG109" s="9"/>
      <c r="AH109" s="9"/>
      <c r="AI109" s="9"/>
      <c r="AK109" s="9"/>
      <c r="AL109" s="9"/>
      <c r="AM109" s="9"/>
      <c r="AN109" s="9"/>
      <c r="AO109" s="9"/>
    </row>
    <row r="110" spans="14:41" x14ac:dyDescent="0.8">
      <c r="X110" s="9"/>
      <c r="Y110" s="9"/>
      <c r="Z110" s="9"/>
      <c r="AA110" s="9"/>
      <c r="AB110" s="9"/>
      <c r="AC110" s="9"/>
      <c r="AD110" s="9"/>
      <c r="AE110" s="9"/>
      <c r="AF110" s="9"/>
      <c r="AG110" s="9"/>
      <c r="AH110" s="9"/>
      <c r="AI110" s="9"/>
      <c r="AK110" s="9"/>
      <c r="AL110" s="9"/>
      <c r="AM110" s="9"/>
      <c r="AN110" s="9"/>
      <c r="AO110" s="9"/>
    </row>
    <row r="111" spans="14:41" x14ac:dyDescent="0.8">
      <c r="X111" s="9"/>
      <c r="Y111" s="9"/>
      <c r="Z111" s="9"/>
      <c r="AA111" s="9"/>
      <c r="AB111" s="9"/>
      <c r="AC111" s="9"/>
      <c r="AD111" s="9"/>
      <c r="AE111" s="9"/>
      <c r="AF111" s="9"/>
      <c r="AG111" s="9"/>
      <c r="AH111" s="9"/>
      <c r="AI111" s="9"/>
      <c r="AK111" s="9"/>
      <c r="AL111" s="9"/>
      <c r="AM111" s="9"/>
      <c r="AN111" s="9"/>
      <c r="AO111" s="9"/>
    </row>
    <row r="112" spans="14:41" x14ac:dyDescent="0.8">
      <c r="X112" s="9"/>
      <c r="Y112" s="9"/>
      <c r="Z112" s="9"/>
      <c r="AA112" s="9"/>
      <c r="AB112" s="9"/>
      <c r="AC112" s="9"/>
      <c r="AD112" s="9"/>
      <c r="AE112" s="9"/>
      <c r="AF112" s="9"/>
      <c r="AG112" s="9"/>
      <c r="AH112" s="9"/>
      <c r="AI112" s="9"/>
      <c r="AK112" s="9"/>
      <c r="AL112" s="9"/>
      <c r="AM112" s="9"/>
      <c r="AN112" s="9"/>
      <c r="AO112" s="9"/>
    </row>
    <row r="113" spans="24:41" x14ac:dyDescent="0.8">
      <c r="X113" s="9"/>
      <c r="Y113" s="9"/>
      <c r="Z113" s="9"/>
      <c r="AA113" s="9"/>
      <c r="AB113" s="9"/>
      <c r="AC113" s="9"/>
      <c r="AD113" s="9"/>
      <c r="AE113" s="9"/>
      <c r="AF113" s="9"/>
      <c r="AG113" s="9"/>
      <c r="AH113" s="9"/>
      <c r="AI113" s="9"/>
      <c r="AK113" s="9"/>
      <c r="AL113" s="9"/>
      <c r="AM113" s="9"/>
      <c r="AN113" s="9"/>
      <c r="AO113" s="9"/>
    </row>
    <row r="114" spans="24:41" x14ac:dyDescent="0.8">
      <c r="X114" s="9"/>
      <c r="Y114" s="9"/>
      <c r="Z114" s="9"/>
      <c r="AA114" s="9"/>
      <c r="AB114" s="9"/>
      <c r="AC114" s="9"/>
      <c r="AD114" s="9"/>
      <c r="AE114" s="9"/>
      <c r="AF114" s="9"/>
      <c r="AG114" s="9"/>
      <c r="AH114" s="9"/>
      <c r="AI114" s="9"/>
      <c r="AK114" s="9"/>
      <c r="AL114" s="9"/>
      <c r="AM114" s="9"/>
      <c r="AN114" s="9"/>
      <c r="AO114" s="9"/>
    </row>
    <row r="115" spans="24:41" x14ac:dyDescent="0.8">
      <c r="X115" s="9"/>
      <c r="Y115" s="9"/>
      <c r="Z115" s="9"/>
      <c r="AA115" s="9"/>
      <c r="AB115" s="9"/>
      <c r="AC115" s="9"/>
      <c r="AD115" s="9"/>
      <c r="AE115" s="9"/>
      <c r="AF115" s="9"/>
      <c r="AG115" s="9"/>
      <c r="AH115" s="9"/>
      <c r="AI115" s="9"/>
      <c r="AK115" s="9"/>
      <c r="AL115" s="9"/>
      <c r="AM115" s="9"/>
      <c r="AN115" s="9"/>
      <c r="AO115" s="9"/>
    </row>
    <row r="116" spans="24:41" x14ac:dyDescent="0.8">
      <c r="X116" s="9"/>
      <c r="Y116" s="9"/>
      <c r="Z116" s="9"/>
      <c r="AA116" s="9"/>
      <c r="AB116" s="9"/>
      <c r="AC116" s="9"/>
      <c r="AD116" s="9"/>
      <c r="AE116" s="9"/>
      <c r="AF116" s="9"/>
      <c r="AG116" s="9"/>
      <c r="AH116" s="9"/>
      <c r="AI116" s="9"/>
      <c r="AK116" s="9"/>
      <c r="AL116" s="9"/>
      <c r="AM116" s="9"/>
      <c r="AN116" s="9"/>
      <c r="AO116" s="9"/>
    </row>
    <row r="117" spans="24:41" x14ac:dyDescent="0.8">
      <c r="X117" s="9"/>
      <c r="Y117" s="9"/>
      <c r="Z117" s="9"/>
      <c r="AA117" s="9"/>
      <c r="AB117" s="9"/>
      <c r="AC117" s="9"/>
      <c r="AD117" s="9"/>
      <c r="AE117" s="9"/>
      <c r="AF117" s="9"/>
      <c r="AG117" s="9"/>
      <c r="AH117" s="9"/>
      <c r="AI117" s="9"/>
      <c r="AK117" s="9"/>
      <c r="AL117" s="9"/>
      <c r="AM117" s="9"/>
      <c r="AN117" s="9"/>
      <c r="AO117" s="9"/>
    </row>
    <row r="118" spans="24:41" x14ac:dyDescent="0.8">
      <c r="X118" s="9"/>
      <c r="Y118" s="9"/>
      <c r="Z118" s="9"/>
      <c r="AA118" s="9"/>
      <c r="AB118" s="9"/>
      <c r="AC118" s="9"/>
      <c r="AD118" s="9"/>
      <c r="AE118" s="9"/>
      <c r="AF118" s="9"/>
      <c r="AG118" s="9"/>
      <c r="AH118" s="9"/>
      <c r="AI118" s="9"/>
      <c r="AK118" s="9"/>
      <c r="AL118" s="9"/>
      <c r="AM118" s="9"/>
      <c r="AN118" s="9"/>
      <c r="AO118" s="9"/>
    </row>
    <row r="119" spans="24:41" x14ac:dyDescent="0.8">
      <c r="X119" s="9"/>
      <c r="Y119" s="9"/>
      <c r="Z119" s="9"/>
      <c r="AA119" s="9"/>
      <c r="AB119" s="9"/>
      <c r="AC119" s="9"/>
      <c r="AD119" s="9"/>
      <c r="AE119" s="9"/>
      <c r="AF119" s="9"/>
      <c r="AG119" s="9"/>
      <c r="AH119" s="9"/>
      <c r="AI119" s="9"/>
      <c r="AK119" s="9"/>
      <c r="AL119" s="9"/>
      <c r="AM119" s="9"/>
      <c r="AN119" s="9"/>
      <c r="AO119" s="9"/>
    </row>
    <row r="120" spans="24:41" x14ac:dyDescent="0.8">
      <c r="X120" s="9"/>
      <c r="Y120" s="9"/>
      <c r="Z120" s="9"/>
      <c r="AA120" s="9"/>
      <c r="AB120" s="9"/>
      <c r="AC120" s="9"/>
      <c r="AD120" s="9"/>
      <c r="AE120" s="9"/>
      <c r="AF120" s="9"/>
      <c r="AG120" s="9"/>
      <c r="AH120" s="9"/>
      <c r="AI120" s="9"/>
      <c r="AK120" s="9"/>
      <c r="AL120" s="9"/>
      <c r="AM120" s="9"/>
      <c r="AN120" s="9"/>
      <c r="AO120" s="9"/>
    </row>
    <row r="121" spans="24:41" x14ac:dyDescent="0.8">
      <c r="X121" s="9"/>
      <c r="Y121" s="9"/>
      <c r="Z121" s="9"/>
      <c r="AA121" s="9"/>
      <c r="AB121" s="9"/>
      <c r="AC121" s="9"/>
      <c r="AD121" s="9"/>
      <c r="AE121" s="9"/>
      <c r="AF121" s="9"/>
      <c r="AG121" s="9"/>
      <c r="AH121" s="9"/>
      <c r="AI121" s="9"/>
      <c r="AK121" s="9"/>
      <c r="AL121" s="9"/>
      <c r="AM121" s="9"/>
      <c r="AN121" s="9"/>
      <c r="AO121" s="9"/>
    </row>
    <row r="122" spans="24:41" x14ac:dyDescent="0.8">
      <c r="X122" s="9"/>
      <c r="Y122" s="9"/>
      <c r="Z122" s="9"/>
      <c r="AA122" s="9"/>
      <c r="AB122" s="9"/>
      <c r="AC122" s="9"/>
      <c r="AD122" s="9"/>
      <c r="AE122" s="9"/>
      <c r="AF122" s="9"/>
      <c r="AG122" s="9"/>
      <c r="AH122" s="9"/>
      <c r="AI122" s="9"/>
      <c r="AK122" s="9"/>
      <c r="AL122" s="9"/>
      <c r="AM122" s="9"/>
      <c r="AN122" s="9"/>
      <c r="AO122" s="9"/>
    </row>
    <row r="123" spans="24:41" x14ac:dyDescent="0.8">
      <c r="X123" s="9"/>
      <c r="Y123" s="9"/>
      <c r="Z123" s="9"/>
      <c r="AA123" s="9"/>
      <c r="AB123" s="9"/>
      <c r="AC123" s="9"/>
      <c r="AD123" s="9"/>
      <c r="AE123" s="9"/>
      <c r="AF123" s="9"/>
      <c r="AG123" s="9"/>
      <c r="AH123" s="9"/>
      <c r="AI123" s="9"/>
      <c r="AK123" s="9"/>
      <c r="AL123" s="9"/>
      <c r="AM123" s="9"/>
      <c r="AN123" s="9"/>
      <c r="AO123" s="9"/>
    </row>
    <row r="124" spans="24:41" x14ac:dyDescent="0.8">
      <c r="X124" s="9"/>
      <c r="Y124" s="9"/>
      <c r="Z124" s="9"/>
      <c r="AA124" s="9"/>
      <c r="AB124" s="9"/>
      <c r="AC124" s="9"/>
      <c r="AD124" s="9"/>
      <c r="AE124" s="9"/>
      <c r="AF124" s="9"/>
      <c r="AG124" s="9"/>
      <c r="AH124" s="9"/>
      <c r="AI124" s="9"/>
      <c r="AK124" s="9"/>
      <c r="AL124" s="9"/>
      <c r="AM124" s="9"/>
      <c r="AN124" s="9"/>
      <c r="AO124" s="9"/>
    </row>
    <row r="125" spans="24:41" x14ac:dyDescent="0.8">
      <c r="X125" s="9"/>
      <c r="Y125" s="9"/>
      <c r="Z125" s="9"/>
      <c r="AA125" s="9"/>
      <c r="AB125" s="9"/>
      <c r="AC125" s="9"/>
      <c r="AD125" s="9"/>
      <c r="AE125" s="9"/>
      <c r="AF125" s="9"/>
      <c r="AG125" s="9"/>
      <c r="AH125" s="9"/>
      <c r="AI125" s="9"/>
      <c r="AK125" s="9"/>
      <c r="AL125" s="9"/>
      <c r="AM125" s="9"/>
      <c r="AN125" s="9"/>
      <c r="AO125" s="9"/>
    </row>
    <row r="126" spans="24:41" x14ac:dyDescent="0.8">
      <c r="X126" s="9"/>
      <c r="Y126" s="9"/>
      <c r="Z126" s="9"/>
      <c r="AA126" s="9"/>
      <c r="AB126" s="9"/>
      <c r="AC126" s="9"/>
      <c r="AD126" s="9"/>
      <c r="AE126" s="9"/>
      <c r="AF126" s="9"/>
      <c r="AG126" s="9"/>
      <c r="AH126" s="9"/>
      <c r="AI126" s="9"/>
      <c r="AK126" s="9"/>
      <c r="AL126" s="9"/>
      <c r="AM126" s="9"/>
      <c r="AN126" s="9"/>
      <c r="AO126" s="9"/>
    </row>
    <row r="127" spans="24:41" x14ac:dyDescent="0.8">
      <c r="X127" s="9"/>
      <c r="Y127" s="9"/>
      <c r="Z127" s="9"/>
      <c r="AA127" s="9"/>
      <c r="AB127" s="9"/>
      <c r="AC127" s="9"/>
      <c r="AD127" s="9"/>
      <c r="AE127" s="9"/>
      <c r="AF127" s="9"/>
      <c r="AG127" s="9"/>
      <c r="AH127" s="9"/>
      <c r="AI127" s="9"/>
      <c r="AK127" s="9"/>
      <c r="AL127" s="9"/>
      <c r="AM127" s="9"/>
      <c r="AN127" s="9"/>
      <c r="AO127" s="9"/>
    </row>
    <row r="128" spans="24:41" x14ac:dyDescent="0.8">
      <c r="X128" s="9"/>
      <c r="Y128" s="9"/>
      <c r="Z128" s="9"/>
      <c r="AA128" s="9"/>
      <c r="AB128" s="9"/>
      <c r="AC128" s="9"/>
      <c r="AD128" s="9"/>
      <c r="AE128" s="9"/>
      <c r="AF128" s="9"/>
      <c r="AG128" s="9"/>
      <c r="AH128" s="9"/>
      <c r="AI128" s="9"/>
      <c r="AK128" s="9"/>
      <c r="AL128" s="9"/>
      <c r="AM128" s="9"/>
      <c r="AN128" s="9"/>
      <c r="AO128" s="9"/>
    </row>
    <row r="129" spans="24:41" x14ac:dyDescent="0.8">
      <c r="X129" s="9"/>
      <c r="Y129" s="9"/>
      <c r="Z129" s="9"/>
      <c r="AA129" s="9"/>
      <c r="AB129" s="9"/>
      <c r="AC129" s="9"/>
      <c r="AD129" s="9"/>
      <c r="AE129" s="9"/>
      <c r="AF129" s="9"/>
      <c r="AG129" s="9"/>
      <c r="AH129" s="9"/>
      <c r="AI129" s="9"/>
      <c r="AK129" s="9"/>
      <c r="AL129" s="9"/>
      <c r="AM129" s="9"/>
      <c r="AN129" s="9"/>
      <c r="AO129" s="9"/>
    </row>
    <row r="130" spans="24:41" x14ac:dyDescent="0.8">
      <c r="X130" s="9"/>
      <c r="Y130" s="9"/>
      <c r="Z130" s="9"/>
      <c r="AA130" s="9"/>
      <c r="AB130" s="9"/>
      <c r="AC130" s="9"/>
      <c r="AD130" s="9"/>
      <c r="AE130" s="9"/>
      <c r="AF130" s="9"/>
      <c r="AG130" s="9"/>
      <c r="AH130" s="9"/>
      <c r="AI130" s="9"/>
      <c r="AK130" s="9"/>
      <c r="AL130" s="9"/>
      <c r="AM130" s="9"/>
      <c r="AN130" s="9"/>
      <c r="AO130" s="9"/>
    </row>
    <row r="131" spans="24:41" x14ac:dyDescent="0.8">
      <c r="X131" s="9"/>
      <c r="Y131" s="9"/>
      <c r="Z131" s="9"/>
      <c r="AA131" s="9"/>
      <c r="AB131" s="9"/>
      <c r="AC131" s="9"/>
      <c r="AD131" s="9"/>
      <c r="AE131" s="9"/>
      <c r="AF131" s="9"/>
      <c r="AG131" s="9"/>
      <c r="AH131" s="9"/>
      <c r="AI131" s="9"/>
      <c r="AK131" s="9"/>
      <c r="AL131" s="9"/>
      <c r="AM131" s="9"/>
      <c r="AN131" s="9"/>
      <c r="AO131" s="9"/>
    </row>
    <row r="132" spans="24:41" x14ac:dyDescent="0.8">
      <c r="X132" s="9"/>
      <c r="Y132" s="9"/>
      <c r="Z132" s="9"/>
      <c r="AA132" s="9"/>
      <c r="AB132" s="9"/>
      <c r="AC132" s="9"/>
      <c r="AD132" s="9"/>
      <c r="AE132" s="9"/>
      <c r="AF132" s="9"/>
      <c r="AG132" s="9"/>
      <c r="AH132" s="9"/>
      <c r="AI132" s="9"/>
      <c r="AK132" s="9"/>
      <c r="AL132" s="9"/>
      <c r="AM132" s="9"/>
      <c r="AN132" s="9"/>
      <c r="AO132" s="9"/>
    </row>
    <row r="133" spans="24:41" x14ac:dyDescent="0.8">
      <c r="X133" s="9"/>
      <c r="Y133" s="9"/>
      <c r="Z133" s="9"/>
      <c r="AA133" s="9"/>
      <c r="AB133" s="9"/>
      <c r="AC133" s="9"/>
      <c r="AD133" s="9"/>
      <c r="AE133" s="9"/>
      <c r="AF133" s="9"/>
      <c r="AG133" s="9"/>
      <c r="AH133" s="9"/>
      <c r="AI133" s="9"/>
      <c r="AK133" s="9"/>
      <c r="AL133" s="9"/>
      <c r="AM133" s="9"/>
      <c r="AN133" s="9"/>
      <c r="AO133" s="9"/>
    </row>
    <row r="134" spans="24:41" x14ac:dyDescent="0.8">
      <c r="X134" s="9"/>
      <c r="Y134" s="9"/>
      <c r="Z134" s="9"/>
      <c r="AA134" s="9"/>
      <c r="AB134" s="9"/>
      <c r="AC134" s="9"/>
      <c r="AD134" s="9"/>
      <c r="AE134" s="9"/>
      <c r="AF134" s="9"/>
      <c r="AG134" s="9"/>
      <c r="AH134" s="9"/>
      <c r="AI134" s="9"/>
      <c r="AK134" s="9"/>
      <c r="AL134" s="9"/>
      <c r="AM134" s="9"/>
      <c r="AN134" s="9"/>
      <c r="AO134" s="9"/>
    </row>
    <row r="135" spans="24:41" x14ac:dyDescent="0.8">
      <c r="X135" s="9"/>
      <c r="Y135" s="9"/>
      <c r="Z135" s="9"/>
      <c r="AA135" s="9"/>
      <c r="AB135" s="9"/>
      <c r="AC135" s="9"/>
      <c r="AD135" s="9"/>
      <c r="AE135" s="9"/>
      <c r="AF135" s="9"/>
      <c r="AG135" s="9"/>
      <c r="AH135" s="9"/>
      <c r="AI135" s="9"/>
      <c r="AK135" s="9"/>
      <c r="AL135" s="9"/>
      <c r="AM135" s="9"/>
      <c r="AN135" s="9"/>
      <c r="AO135" s="9"/>
    </row>
    <row r="136" spans="24:41" x14ac:dyDescent="0.8">
      <c r="X136" s="9"/>
      <c r="Y136" s="9"/>
      <c r="Z136" s="9"/>
      <c r="AA136" s="9"/>
      <c r="AB136" s="9"/>
      <c r="AC136" s="9"/>
      <c r="AD136" s="9"/>
      <c r="AE136" s="9"/>
      <c r="AF136" s="9"/>
      <c r="AG136" s="9"/>
      <c r="AH136" s="9"/>
      <c r="AI136" s="9"/>
      <c r="AK136" s="9"/>
      <c r="AL136" s="9"/>
      <c r="AM136" s="9"/>
      <c r="AN136" s="9"/>
      <c r="AO136" s="9"/>
    </row>
    <row r="137" spans="24:41" x14ac:dyDescent="0.8">
      <c r="X137" s="9"/>
      <c r="Y137" s="9"/>
      <c r="Z137" s="9"/>
      <c r="AA137" s="9"/>
      <c r="AB137" s="9"/>
      <c r="AC137" s="9"/>
      <c r="AD137" s="9"/>
      <c r="AE137" s="9"/>
      <c r="AF137" s="9"/>
      <c r="AG137" s="9"/>
      <c r="AH137" s="9"/>
      <c r="AI137" s="9"/>
      <c r="AK137" s="9"/>
      <c r="AL137" s="9"/>
      <c r="AM137" s="9"/>
      <c r="AN137" s="9"/>
      <c r="AO137" s="9"/>
    </row>
    <row r="138" spans="24:41" x14ac:dyDescent="0.8">
      <c r="X138" s="9"/>
      <c r="Y138" s="9"/>
      <c r="Z138" s="9"/>
      <c r="AA138" s="9"/>
      <c r="AB138" s="9"/>
      <c r="AC138" s="9"/>
      <c r="AD138" s="9"/>
      <c r="AE138" s="9"/>
      <c r="AF138" s="9"/>
      <c r="AG138" s="9"/>
      <c r="AH138" s="9"/>
      <c r="AI138" s="9"/>
      <c r="AK138" s="9"/>
      <c r="AL138" s="9"/>
      <c r="AM138" s="9"/>
      <c r="AN138" s="9"/>
      <c r="AO138" s="9"/>
    </row>
    <row r="139" spans="24:41" x14ac:dyDescent="0.8">
      <c r="X139" s="9"/>
      <c r="Y139" s="9"/>
      <c r="Z139" s="9"/>
      <c r="AA139" s="9"/>
      <c r="AB139" s="9"/>
      <c r="AC139" s="9"/>
      <c r="AD139" s="9"/>
      <c r="AE139" s="9"/>
      <c r="AF139" s="9"/>
      <c r="AG139" s="9"/>
      <c r="AH139" s="9"/>
      <c r="AI139" s="9"/>
      <c r="AK139" s="9"/>
      <c r="AL139" s="9"/>
      <c r="AM139" s="9"/>
      <c r="AN139" s="9"/>
      <c r="AO139" s="9"/>
    </row>
    <row r="140" spans="24:41" x14ac:dyDescent="0.8">
      <c r="X140" s="9"/>
      <c r="Y140" s="9"/>
      <c r="Z140" s="9"/>
      <c r="AA140" s="9"/>
      <c r="AB140" s="9"/>
      <c r="AC140" s="9"/>
      <c r="AD140" s="9"/>
      <c r="AE140" s="9"/>
      <c r="AF140" s="9"/>
      <c r="AG140" s="9"/>
      <c r="AH140" s="9"/>
      <c r="AI140" s="9"/>
      <c r="AK140" s="9"/>
      <c r="AL140" s="9"/>
      <c r="AM140" s="9"/>
      <c r="AN140" s="9"/>
      <c r="AO140" s="9"/>
    </row>
    <row r="141" spans="24:41" x14ac:dyDescent="0.8">
      <c r="X141" s="9"/>
      <c r="Y141" s="9"/>
      <c r="Z141" s="9"/>
      <c r="AA141" s="9"/>
      <c r="AB141" s="9"/>
      <c r="AC141" s="9"/>
      <c r="AD141" s="9"/>
      <c r="AE141" s="9"/>
      <c r="AF141" s="9"/>
      <c r="AG141" s="9"/>
      <c r="AH141" s="9"/>
      <c r="AI141" s="9"/>
      <c r="AK141" s="9"/>
      <c r="AL141" s="9"/>
      <c r="AM141" s="9"/>
      <c r="AN141" s="9"/>
      <c r="AO141" s="9"/>
    </row>
    <row r="142" spans="24:41" x14ac:dyDescent="0.8">
      <c r="X142" s="9"/>
      <c r="Y142" s="9"/>
      <c r="Z142" s="9"/>
      <c r="AA142" s="9"/>
      <c r="AB142" s="9"/>
      <c r="AC142" s="9"/>
      <c r="AD142" s="9"/>
      <c r="AE142" s="9"/>
      <c r="AF142" s="9"/>
      <c r="AG142" s="9"/>
      <c r="AH142" s="9"/>
      <c r="AI142" s="9"/>
      <c r="AK142" s="9"/>
      <c r="AL142" s="9"/>
      <c r="AM142" s="9"/>
      <c r="AN142" s="9"/>
      <c r="AO142" s="9"/>
    </row>
    <row r="143" spans="24:41" x14ac:dyDescent="0.8">
      <c r="X143" s="9"/>
      <c r="Y143" s="9"/>
      <c r="Z143" s="9"/>
      <c r="AA143" s="9"/>
      <c r="AB143" s="9"/>
      <c r="AC143" s="9"/>
      <c r="AD143" s="9"/>
      <c r="AE143" s="9"/>
      <c r="AF143" s="9"/>
      <c r="AG143" s="9"/>
      <c r="AH143" s="9"/>
      <c r="AI143" s="9"/>
      <c r="AK143" s="9"/>
      <c r="AL143" s="9"/>
      <c r="AM143" s="9"/>
      <c r="AN143" s="9"/>
      <c r="AO143" s="9"/>
    </row>
    <row r="144" spans="24:41" x14ac:dyDescent="0.8">
      <c r="X144" s="9"/>
      <c r="Y144" s="9"/>
      <c r="Z144" s="9"/>
      <c r="AA144" s="9"/>
      <c r="AB144" s="9"/>
      <c r="AC144" s="9"/>
      <c r="AD144" s="9"/>
      <c r="AE144" s="9"/>
      <c r="AF144" s="9"/>
      <c r="AG144" s="9"/>
      <c r="AH144" s="9"/>
      <c r="AI144" s="9"/>
      <c r="AK144" s="9"/>
      <c r="AL144" s="9"/>
      <c r="AM144" s="9"/>
      <c r="AN144" s="9"/>
      <c r="AO144" s="9"/>
    </row>
    <row r="145" spans="24:41" x14ac:dyDescent="0.8">
      <c r="X145" s="9"/>
      <c r="Y145" s="9"/>
      <c r="Z145" s="9"/>
      <c r="AA145" s="9"/>
      <c r="AB145" s="9"/>
      <c r="AC145" s="9"/>
      <c r="AD145" s="9"/>
      <c r="AE145" s="9"/>
      <c r="AF145" s="9"/>
      <c r="AG145" s="9"/>
      <c r="AH145" s="9"/>
      <c r="AI145" s="9"/>
      <c r="AK145" s="9"/>
      <c r="AL145" s="9"/>
      <c r="AM145" s="9"/>
      <c r="AN145" s="9"/>
      <c r="AO145" s="9"/>
    </row>
    <row r="146" spans="24:41" x14ac:dyDescent="0.8">
      <c r="X146" s="9"/>
      <c r="Y146" s="9"/>
      <c r="Z146" s="9"/>
      <c r="AA146" s="9"/>
      <c r="AB146" s="9"/>
      <c r="AC146" s="9"/>
      <c r="AD146" s="9"/>
      <c r="AE146" s="9"/>
      <c r="AF146" s="9"/>
      <c r="AG146" s="9"/>
      <c r="AH146" s="9"/>
      <c r="AI146" s="9"/>
      <c r="AK146" s="9"/>
      <c r="AL146" s="9"/>
      <c r="AM146" s="9"/>
      <c r="AN146" s="9"/>
      <c r="AO146" s="9"/>
    </row>
    <row r="147" spans="24:41" x14ac:dyDescent="0.8">
      <c r="X147" s="9"/>
      <c r="Y147" s="9"/>
      <c r="Z147" s="9"/>
      <c r="AA147" s="9"/>
      <c r="AB147" s="9"/>
      <c r="AC147" s="9"/>
      <c r="AD147" s="9"/>
      <c r="AE147" s="9"/>
      <c r="AF147" s="9"/>
      <c r="AG147" s="9"/>
      <c r="AH147" s="9"/>
      <c r="AI147" s="9"/>
      <c r="AK147" s="9"/>
      <c r="AL147" s="9"/>
      <c r="AM147" s="9"/>
      <c r="AN147" s="9"/>
      <c r="AO147" s="9"/>
    </row>
    <row r="148" spans="24:41" x14ac:dyDescent="0.8">
      <c r="X148" s="9"/>
      <c r="Y148" s="9"/>
      <c r="Z148" s="9"/>
      <c r="AA148" s="9"/>
      <c r="AB148" s="9"/>
      <c r="AC148" s="9"/>
      <c r="AD148" s="9"/>
      <c r="AE148" s="9"/>
      <c r="AF148" s="9"/>
      <c r="AG148" s="9"/>
      <c r="AH148" s="9"/>
      <c r="AI148" s="9"/>
      <c r="AK148" s="9"/>
      <c r="AL148" s="9"/>
      <c r="AM148" s="9"/>
      <c r="AN148" s="9"/>
      <c r="AO148" s="9"/>
    </row>
    <row r="149" spans="24:41" x14ac:dyDescent="0.8">
      <c r="X149" s="9"/>
      <c r="Y149" s="9"/>
      <c r="Z149" s="9"/>
      <c r="AA149" s="9"/>
      <c r="AB149" s="9"/>
      <c r="AC149" s="9"/>
      <c r="AD149" s="9"/>
      <c r="AE149" s="9"/>
      <c r="AF149" s="9"/>
      <c r="AG149" s="9"/>
      <c r="AH149" s="9"/>
      <c r="AI149" s="9"/>
      <c r="AK149" s="9"/>
      <c r="AL149" s="9"/>
      <c r="AM149" s="9"/>
      <c r="AN149" s="9"/>
      <c r="AO149" s="9"/>
    </row>
    <row r="150" spans="24:41" x14ac:dyDescent="0.8">
      <c r="X150" s="9"/>
      <c r="Y150" s="9"/>
      <c r="Z150" s="9"/>
      <c r="AA150" s="9"/>
      <c r="AB150" s="9"/>
      <c r="AC150" s="9"/>
      <c r="AD150" s="9"/>
      <c r="AE150" s="9"/>
      <c r="AF150" s="9"/>
      <c r="AG150" s="9"/>
      <c r="AH150" s="9"/>
      <c r="AI150" s="9"/>
      <c r="AK150" s="9"/>
      <c r="AL150" s="9"/>
      <c r="AM150" s="9"/>
      <c r="AN150" s="9"/>
      <c r="AO150" s="9"/>
    </row>
    <row r="151" spans="24:41" x14ac:dyDescent="0.8">
      <c r="X151" s="9"/>
      <c r="Y151" s="9"/>
      <c r="Z151" s="9"/>
      <c r="AA151" s="9"/>
      <c r="AB151" s="9"/>
      <c r="AC151" s="9"/>
      <c r="AD151" s="9"/>
      <c r="AE151" s="9"/>
      <c r="AF151" s="9"/>
      <c r="AG151" s="9"/>
      <c r="AH151" s="9"/>
      <c r="AI151" s="9"/>
      <c r="AK151" s="9"/>
      <c r="AL151" s="9"/>
      <c r="AM151" s="9"/>
      <c r="AN151" s="9"/>
      <c r="AO151" s="9"/>
    </row>
    <row r="152" spans="24:41" x14ac:dyDescent="0.8">
      <c r="X152" s="9"/>
      <c r="Y152" s="9"/>
      <c r="Z152" s="9"/>
      <c r="AA152" s="9"/>
      <c r="AB152" s="9"/>
      <c r="AC152" s="9"/>
      <c r="AD152" s="9"/>
      <c r="AE152" s="9"/>
      <c r="AF152" s="9"/>
      <c r="AG152" s="9"/>
      <c r="AH152" s="9"/>
      <c r="AI152" s="9"/>
      <c r="AK152" s="9"/>
      <c r="AL152" s="9"/>
      <c r="AM152" s="9"/>
      <c r="AN152" s="9"/>
      <c r="AO152" s="9"/>
    </row>
    <row r="153" spans="24:41" x14ac:dyDescent="0.8">
      <c r="X153" s="9"/>
      <c r="Y153" s="9"/>
      <c r="Z153" s="9"/>
      <c r="AA153" s="9"/>
      <c r="AB153" s="9"/>
      <c r="AC153" s="9"/>
      <c r="AD153" s="9"/>
      <c r="AE153" s="9"/>
      <c r="AF153" s="9"/>
      <c r="AG153" s="9"/>
      <c r="AH153" s="9"/>
      <c r="AI153" s="9"/>
      <c r="AK153" s="9"/>
      <c r="AL153" s="9"/>
      <c r="AM153" s="9"/>
      <c r="AN153" s="9"/>
      <c r="AO153" s="9"/>
    </row>
    <row r="154" spans="24:41" x14ac:dyDescent="0.8">
      <c r="X154" s="9"/>
      <c r="Y154" s="9"/>
      <c r="Z154" s="9"/>
      <c r="AA154" s="9"/>
      <c r="AB154" s="9"/>
      <c r="AC154" s="9"/>
      <c r="AD154" s="9"/>
      <c r="AE154" s="9"/>
      <c r="AF154" s="9"/>
      <c r="AG154" s="9"/>
      <c r="AH154" s="9"/>
      <c r="AI154" s="9"/>
      <c r="AK154" s="9"/>
      <c r="AL154" s="9"/>
      <c r="AM154" s="9"/>
      <c r="AN154" s="9"/>
      <c r="AO154" s="9"/>
    </row>
    <row r="155" spans="24:41" x14ac:dyDescent="0.8">
      <c r="X155" s="9"/>
      <c r="Y155" s="9"/>
      <c r="Z155" s="9"/>
      <c r="AA155" s="9"/>
      <c r="AB155" s="9"/>
      <c r="AC155" s="9"/>
      <c r="AD155" s="9"/>
      <c r="AE155" s="9"/>
      <c r="AF155" s="9"/>
      <c r="AG155" s="9"/>
      <c r="AH155" s="9"/>
      <c r="AI155" s="9"/>
      <c r="AK155" s="9"/>
      <c r="AL155" s="9"/>
      <c r="AM155" s="9"/>
      <c r="AN155" s="9"/>
      <c r="AO155" s="9"/>
    </row>
    <row r="156" spans="24:41" x14ac:dyDescent="0.8">
      <c r="X156" s="9"/>
      <c r="Y156" s="9"/>
      <c r="Z156" s="9"/>
      <c r="AA156" s="9"/>
      <c r="AB156" s="9"/>
      <c r="AC156" s="9"/>
      <c r="AD156" s="9"/>
      <c r="AE156" s="9"/>
      <c r="AF156" s="9"/>
      <c r="AG156" s="9"/>
      <c r="AH156" s="9"/>
      <c r="AI156" s="9"/>
      <c r="AK156" s="9"/>
      <c r="AL156" s="9"/>
      <c r="AM156" s="9"/>
      <c r="AN156" s="9"/>
      <c r="AO156" s="9"/>
    </row>
    <row r="157" spans="24:41" x14ac:dyDescent="0.8">
      <c r="X157" s="9"/>
      <c r="Y157" s="9"/>
      <c r="Z157" s="9"/>
      <c r="AA157" s="9"/>
      <c r="AB157" s="9"/>
      <c r="AC157" s="9"/>
      <c r="AD157" s="9"/>
      <c r="AE157" s="9"/>
      <c r="AF157" s="9"/>
      <c r="AG157" s="9"/>
      <c r="AH157" s="9"/>
      <c r="AI157" s="9"/>
      <c r="AK157" s="9"/>
      <c r="AL157" s="9"/>
      <c r="AM157" s="9"/>
      <c r="AN157" s="9"/>
      <c r="AO157" s="9"/>
    </row>
    <row r="158" spans="24:41" x14ac:dyDescent="0.8">
      <c r="X158" s="9"/>
      <c r="Y158" s="9"/>
      <c r="Z158" s="9"/>
      <c r="AA158" s="9"/>
      <c r="AB158" s="9"/>
      <c r="AC158" s="9"/>
      <c r="AD158" s="9"/>
      <c r="AE158" s="9"/>
      <c r="AF158" s="9"/>
      <c r="AG158" s="9"/>
      <c r="AH158" s="9"/>
      <c r="AI158" s="9"/>
      <c r="AK158" s="9"/>
      <c r="AL158" s="9"/>
      <c r="AM158" s="9"/>
      <c r="AN158" s="9"/>
      <c r="AO158" s="9"/>
    </row>
    <row r="159" spans="24:41" x14ac:dyDescent="0.8">
      <c r="X159" s="9"/>
      <c r="Y159" s="9"/>
      <c r="Z159" s="9"/>
      <c r="AA159" s="9"/>
      <c r="AB159" s="9"/>
      <c r="AC159" s="9"/>
      <c r="AD159" s="9"/>
      <c r="AE159" s="9"/>
      <c r="AF159" s="9"/>
      <c r="AG159" s="9"/>
      <c r="AH159" s="9"/>
      <c r="AI159" s="9"/>
      <c r="AK159" s="9"/>
      <c r="AL159" s="9"/>
      <c r="AM159" s="9"/>
      <c r="AN159" s="9"/>
      <c r="AO159" s="9"/>
    </row>
    <row r="160" spans="24:41" x14ac:dyDescent="0.8">
      <c r="X160" s="9"/>
      <c r="Y160" s="9"/>
      <c r="Z160" s="9"/>
      <c r="AA160" s="9"/>
      <c r="AB160" s="9"/>
      <c r="AC160" s="9"/>
      <c r="AD160" s="9"/>
      <c r="AE160" s="9"/>
      <c r="AF160" s="9"/>
      <c r="AG160" s="9"/>
      <c r="AH160" s="9"/>
      <c r="AI160" s="9"/>
      <c r="AK160" s="9"/>
      <c r="AL160" s="9"/>
      <c r="AM160" s="9"/>
      <c r="AN160" s="9"/>
      <c r="AO160" s="9"/>
    </row>
    <row r="161" spans="24:41" x14ac:dyDescent="0.8">
      <c r="X161" s="9"/>
      <c r="Y161" s="9"/>
      <c r="Z161" s="9"/>
      <c r="AA161" s="9"/>
      <c r="AB161" s="9"/>
      <c r="AC161" s="9"/>
      <c r="AD161" s="9"/>
      <c r="AE161" s="9"/>
      <c r="AF161" s="9"/>
      <c r="AG161" s="9"/>
      <c r="AH161" s="9"/>
      <c r="AI161" s="9"/>
      <c r="AK161" s="9"/>
      <c r="AL161" s="9"/>
      <c r="AM161" s="9"/>
      <c r="AN161" s="9"/>
      <c r="AO161" s="9"/>
    </row>
    <row r="162" spans="24:41" x14ac:dyDescent="0.8">
      <c r="X162" s="9"/>
      <c r="Y162" s="9"/>
      <c r="Z162" s="9"/>
      <c r="AA162" s="9"/>
      <c r="AB162" s="9"/>
      <c r="AC162" s="9"/>
      <c r="AD162" s="9"/>
      <c r="AE162" s="9"/>
      <c r="AF162" s="9"/>
      <c r="AG162" s="9"/>
      <c r="AH162" s="9"/>
      <c r="AI162" s="9"/>
      <c r="AK162" s="9"/>
      <c r="AL162" s="9"/>
      <c r="AM162" s="9"/>
      <c r="AN162" s="9"/>
      <c r="AO162" s="9"/>
    </row>
    <row r="163" spans="24:41" x14ac:dyDescent="0.8">
      <c r="X163" s="9"/>
      <c r="Y163" s="9"/>
      <c r="Z163" s="9"/>
      <c r="AA163" s="9"/>
      <c r="AB163" s="9"/>
      <c r="AC163" s="9"/>
      <c r="AD163" s="9"/>
      <c r="AE163" s="9"/>
      <c r="AF163" s="9"/>
      <c r="AG163" s="9"/>
      <c r="AH163" s="9"/>
      <c r="AI163" s="9"/>
      <c r="AK163" s="9"/>
      <c r="AL163" s="9"/>
      <c r="AM163" s="9"/>
      <c r="AN163" s="9"/>
      <c r="AO163" s="9"/>
    </row>
    <row r="164" spans="24:41" x14ac:dyDescent="0.8">
      <c r="X164" s="9"/>
      <c r="Y164" s="9"/>
      <c r="Z164" s="9"/>
      <c r="AA164" s="9"/>
      <c r="AB164" s="9"/>
      <c r="AC164" s="9"/>
      <c r="AD164" s="9"/>
      <c r="AE164" s="9"/>
      <c r="AF164" s="9"/>
      <c r="AG164" s="9"/>
      <c r="AH164" s="9"/>
      <c r="AI164" s="9"/>
      <c r="AK164" s="9"/>
      <c r="AL164" s="9"/>
      <c r="AM164" s="9"/>
      <c r="AN164" s="9"/>
      <c r="AO164" s="9"/>
    </row>
    <row r="165" spans="24:41" x14ac:dyDescent="0.8">
      <c r="X165" s="9"/>
      <c r="Y165" s="9"/>
      <c r="Z165" s="9"/>
      <c r="AA165" s="9"/>
      <c r="AB165" s="9"/>
      <c r="AC165" s="9"/>
      <c r="AD165" s="9"/>
      <c r="AE165" s="9"/>
      <c r="AF165" s="9"/>
      <c r="AG165" s="9"/>
      <c r="AH165" s="9"/>
      <c r="AI165" s="9"/>
      <c r="AK165" s="9"/>
      <c r="AL165" s="9"/>
      <c r="AM165" s="9"/>
      <c r="AN165" s="9"/>
      <c r="AO165" s="9"/>
    </row>
    <row r="166" spans="24:41" x14ac:dyDescent="0.8">
      <c r="X166" s="9"/>
      <c r="Y166" s="9"/>
      <c r="Z166" s="9"/>
      <c r="AA166" s="9"/>
      <c r="AB166" s="9"/>
      <c r="AC166" s="9"/>
      <c r="AD166" s="9"/>
      <c r="AE166" s="9"/>
      <c r="AF166" s="9"/>
      <c r="AG166" s="9"/>
      <c r="AH166" s="9"/>
      <c r="AI166" s="9"/>
      <c r="AK166" s="9"/>
      <c r="AL166" s="9"/>
      <c r="AM166" s="9"/>
      <c r="AN166" s="9"/>
      <c r="AO166" s="9"/>
    </row>
    <row r="167" spans="24:41" x14ac:dyDescent="0.8">
      <c r="X167" s="9"/>
      <c r="Y167" s="9"/>
      <c r="Z167" s="9"/>
      <c r="AA167" s="9"/>
      <c r="AB167" s="9"/>
      <c r="AC167" s="9"/>
      <c r="AD167" s="9"/>
      <c r="AE167" s="9"/>
      <c r="AF167" s="9"/>
      <c r="AG167" s="9"/>
      <c r="AH167" s="9"/>
      <c r="AI167" s="9"/>
      <c r="AK167" s="9"/>
      <c r="AL167" s="9"/>
      <c r="AM167" s="9"/>
      <c r="AN167" s="9"/>
      <c r="AO167" s="9"/>
    </row>
    <row r="168" spans="24:41" x14ac:dyDescent="0.8">
      <c r="X168" s="9"/>
      <c r="Y168" s="9"/>
      <c r="Z168" s="9"/>
      <c r="AA168" s="9"/>
      <c r="AB168" s="9"/>
      <c r="AC168" s="9"/>
      <c r="AD168" s="9"/>
      <c r="AE168" s="9"/>
      <c r="AF168" s="9"/>
      <c r="AG168" s="9"/>
      <c r="AH168" s="9"/>
      <c r="AI168" s="9"/>
      <c r="AK168" s="9"/>
      <c r="AL168" s="9"/>
      <c r="AM168" s="9"/>
      <c r="AN168" s="9"/>
      <c r="AO168" s="9"/>
    </row>
    <row r="169" spans="24:41" x14ac:dyDescent="0.8">
      <c r="X169" s="9"/>
      <c r="Y169" s="9"/>
      <c r="Z169" s="9"/>
      <c r="AA169" s="9"/>
      <c r="AB169" s="9"/>
      <c r="AC169" s="9"/>
      <c r="AD169" s="9"/>
      <c r="AE169" s="9"/>
      <c r="AF169" s="9"/>
      <c r="AG169" s="9"/>
      <c r="AH169" s="9"/>
      <c r="AI169" s="9"/>
      <c r="AK169" s="9"/>
      <c r="AL169" s="9"/>
      <c r="AM169" s="9"/>
      <c r="AN169" s="9"/>
      <c r="AO169" s="9"/>
    </row>
    <row r="170" spans="24:41" x14ac:dyDescent="0.8">
      <c r="X170" s="9"/>
      <c r="Y170" s="9"/>
      <c r="Z170" s="9"/>
      <c r="AA170" s="9"/>
      <c r="AB170" s="9"/>
      <c r="AC170" s="9"/>
      <c r="AD170" s="9"/>
      <c r="AE170" s="9"/>
      <c r="AF170" s="9"/>
      <c r="AG170" s="9"/>
      <c r="AH170" s="9"/>
      <c r="AI170" s="9"/>
      <c r="AK170" s="9"/>
      <c r="AL170" s="9"/>
      <c r="AM170" s="9"/>
      <c r="AN170" s="9"/>
      <c r="AO170" s="9"/>
    </row>
    <row r="171" spans="24:41" x14ac:dyDescent="0.8">
      <c r="X171" s="9"/>
      <c r="Y171" s="9"/>
      <c r="Z171" s="9"/>
      <c r="AA171" s="9"/>
      <c r="AB171" s="9"/>
      <c r="AC171" s="9"/>
      <c r="AD171" s="9"/>
      <c r="AE171" s="9"/>
      <c r="AF171" s="9"/>
      <c r="AG171" s="9"/>
      <c r="AH171" s="9"/>
      <c r="AI171" s="9"/>
      <c r="AK171" s="9"/>
      <c r="AL171" s="9"/>
      <c r="AM171" s="9"/>
      <c r="AN171" s="9"/>
      <c r="AO171" s="9"/>
    </row>
    <row r="172" spans="24:41" x14ac:dyDescent="0.8">
      <c r="X172" s="9"/>
      <c r="Y172" s="9"/>
      <c r="Z172" s="9"/>
      <c r="AA172" s="9"/>
      <c r="AB172" s="9"/>
      <c r="AC172" s="9"/>
      <c r="AD172" s="9"/>
      <c r="AE172" s="9"/>
      <c r="AF172" s="9"/>
      <c r="AG172" s="9"/>
      <c r="AH172" s="9"/>
      <c r="AI172" s="9"/>
      <c r="AK172" s="9"/>
      <c r="AL172" s="9"/>
      <c r="AM172" s="9"/>
      <c r="AN172" s="9"/>
      <c r="AO172" s="9"/>
    </row>
    <row r="173" spans="24:41" x14ac:dyDescent="0.8">
      <c r="X173" s="9"/>
      <c r="Y173" s="9"/>
      <c r="Z173" s="9"/>
      <c r="AA173" s="9"/>
      <c r="AB173" s="9"/>
      <c r="AC173" s="9"/>
      <c r="AD173" s="9"/>
      <c r="AE173" s="9"/>
      <c r="AF173" s="9"/>
      <c r="AG173" s="9"/>
      <c r="AH173" s="9"/>
      <c r="AI173" s="9"/>
      <c r="AK173" s="9"/>
      <c r="AL173" s="9"/>
      <c r="AM173" s="9"/>
      <c r="AN173" s="9"/>
      <c r="AO173" s="9"/>
    </row>
    <row r="174" spans="24:41" x14ac:dyDescent="0.8">
      <c r="X174" s="9"/>
      <c r="Y174" s="9"/>
      <c r="Z174" s="9"/>
      <c r="AA174" s="9"/>
      <c r="AB174" s="9"/>
      <c r="AC174" s="9"/>
      <c r="AD174" s="9"/>
      <c r="AE174" s="9"/>
      <c r="AF174" s="9"/>
      <c r="AG174" s="9"/>
      <c r="AH174" s="9"/>
      <c r="AI174" s="9"/>
      <c r="AK174" s="9"/>
      <c r="AL174" s="9"/>
      <c r="AM174" s="9"/>
      <c r="AN174" s="9"/>
      <c r="AO174" s="9"/>
    </row>
    <row r="175" spans="24:41" x14ac:dyDescent="0.8">
      <c r="X175" s="9"/>
      <c r="Y175" s="9"/>
      <c r="Z175" s="9"/>
      <c r="AA175" s="9"/>
      <c r="AB175" s="9"/>
      <c r="AC175" s="9"/>
      <c r="AD175" s="9"/>
      <c r="AE175" s="9"/>
      <c r="AF175" s="9"/>
      <c r="AG175" s="9"/>
      <c r="AH175" s="9"/>
      <c r="AI175" s="9"/>
      <c r="AK175" s="9"/>
      <c r="AL175" s="9"/>
      <c r="AM175" s="9"/>
      <c r="AN175" s="9"/>
      <c r="AO175" s="9"/>
    </row>
    <row r="176" spans="24:41" x14ac:dyDescent="0.8">
      <c r="X176" s="9"/>
      <c r="Y176" s="9"/>
      <c r="Z176" s="9"/>
      <c r="AA176" s="9"/>
      <c r="AB176" s="9"/>
      <c r="AC176" s="9"/>
      <c r="AD176" s="9"/>
      <c r="AE176" s="9"/>
      <c r="AF176" s="9"/>
      <c r="AG176" s="9"/>
      <c r="AH176" s="9"/>
      <c r="AI176" s="9"/>
      <c r="AK176" s="9"/>
      <c r="AL176" s="9"/>
      <c r="AM176" s="9"/>
      <c r="AN176" s="9"/>
      <c r="AO176" s="9"/>
    </row>
    <row r="177" spans="24:41" x14ac:dyDescent="0.8">
      <c r="X177" s="9"/>
      <c r="Y177" s="9"/>
      <c r="Z177" s="9"/>
      <c r="AA177" s="9"/>
      <c r="AB177" s="9"/>
      <c r="AC177" s="9"/>
      <c r="AD177" s="9"/>
      <c r="AE177" s="9"/>
      <c r="AF177" s="9"/>
      <c r="AG177" s="9"/>
      <c r="AH177" s="9"/>
      <c r="AI177" s="9"/>
      <c r="AK177" s="9"/>
      <c r="AL177" s="9"/>
      <c r="AM177" s="9"/>
      <c r="AN177" s="9"/>
      <c r="AO177" s="9"/>
    </row>
    <row r="178" spans="24:41" x14ac:dyDescent="0.8">
      <c r="AF178" s="9"/>
    </row>
    <row r="179" spans="24:41" x14ac:dyDescent="0.8">
      <c r="AF179" s="9"/>
    </row>
    <row r="180" spans="24:41" x14ac:dyDescent="0.8">
      <c r="AF180" s="9"/>
    </row>
    <row r="181" spans="24:41" x14ac:dyDescent="0.8">
      <c r="AF181" s="9"/>
    </row>
    <row r="182" spans="24:41" x14ac:dyDescent="0.8">
      <c r="AF182" s="9"/>
    </row>
    <row r="183" spans="24:41" x14ac:dyDescent="0.8">
      <c r="AF183" s="9"/>
    </row>
    <row r="184" spans="24:41" x14ac:dyDescent="0.8">
      <c r="AF184" s="9"/>
    </row>
    <row r="185" spans="24:41" x14ac:dyDescent="0.8">
      <c r="AF185" s="9"/>
    </row>
  </sheetData>
  <mergeCells count="22">
    <mergeCell ref="A1:AJ1"/>
    <mergeCell ref="A2:AJ2"/>
    <mergeCell ref="A3:AJ3"/>
    <mergeCell ref="A4:A5"/>
    <mergeCell ref="B4:B5"/>
    <mergeCell ref="C4:C5"/>
    <mergeCell ref="D4:D5"/>
    <mergeCell ref="E4:E5"/>
    <mergeCell ref="F4:F5"/>
    <mergeCell ref="G4:G5"/>
    <mergeCell ref="A88:G88"/>
    <mergeCell ref="H4:H5"/>
    <mergeCell ref="A17:G17"/>
    <mergeCell ref="A32:G32"/>
    <mergeCell ref="A41:G41"/>
    <mergeCell ref="A45:G45"/>
    <mergeCell ref="A46:G46"/>
    <mergeCell ref="B48:AG48"/>
    <mergeCell ref="A78:G78"/>
    <mergeCell ref="B79:AG79"/>
    <mergeCell ref="A86:G86"/>
    <mergeCell ref="A87:G87"/>
  </mergeCells>
  <conditionalFormatting sqref="W15:X15">
    <cfRule type="colorScale" priority="1">
      <colorScale>
        <cfvo type="min"/>
        <cfvo type="percentile" val="50"/>
        <cfvo type="max"/>
        <color rgb="FFF8696B"/>
        <color rgb="FFFCFCFF"/>
        <color rgb="FF63BE7B"/>
      </colorScale>
    </cfRule>
  </conditionalFormatting>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C4717-FB67-4A3F-B45A-DDE251DCCC34}">
  <dimension ref="A1:I24"/>
  <sheetViews>
    <sheetView tabSelected="1" workbookViewId="0">
      <selection activeCell="J19" sqref="J19"/>
    </sheetView>
  </sheetViews>
  <sheetFormatPr defaultRowHeight="21.75" x14ac:dyDescent="0.65"/>
  <cols>
    <col min="1" max="1" width="7.375" customWidth="1"/>
    <col min="2" max="2" width="32.75" customWidth="1"/>
    <col min="3" max="3" width="38.25" customWidth="1"/>
    <col min="4" max="4" width="19.125" customWidth="1"/>
  </cols>
  <sheetData>
    <row r="1" spans="1:9" x14ac:dyDescent="0.65">
      <c r="A1" s="345" t="s">
        <v>643</v>
      </c>
      <c r="B1" s="345"/>
      <c r="C1" s="345"/>
      <c r="D1" s="345"/>
      <c r="E1" s="250"/>
      <c r="F1" s="250"/>
      <c r="G1" s="250"/>
      <c r="H1" s="250"/>
      <c r="I1" s="250"/>
    </row>
    <row r="2" spans="1:9" x14ac:dyDescent="0.65">
      <c r="A2" s="254">
        <v>1</v>
      </c>
      <c r="B2" s="346" t="s">
        <v>615</v>
      </c>
      <c r="C2" s="346"/>
      <c r="D2" s="346"/>
      <c r="E2" s="250"/>
    </row>
    <row r="3" spans="1:9" x14ac:dyDescent="0.65">
      <c r="A3" s="165"/>
      <c r="B3" s="165" t="s">
        <v>617</v>
      </c>
      <c r="C3" s="165" t="s">
        <v>616</v>
      </c>
      <c r="D3" s="165">
        <v>7500</v>
      </c>
    </row>
    <row r="4" spans="1:9" x14ac:dyDescent="0.65">
      <c r="A4" s="165"/>
      <c r="B4" s="165"/>
      <c r="C4" s="165" t="s">
        <v>618</v>
      </c>
      <c r="D4" s="165">
        <v>5000</v>
      </c>
    </row>
    <row r="5" spans="1:9" x14ac:dyDescent="0.65">
      <c r="A5" s="165"/>
      <c r="B5" s="165"/>
      <c r="C5" s="165" t="s">
        <v>619</v>
      </c>
      <c r="D5" s="165">
        <v>3660</v>
      </c>
    </row>
    <row r="6" spans="1:9" x14ac:dyDescent="0.65">
      <c r="A6" s="165"/>
      <c r="B6" s="165"/>
      <c r="C6" s="165" t="s">
        <v>620</v>
      </c>
      <c r="D6" s="165">
        <v>1500</v>
      </c>
    </row>
    <row r="7" spans="1:9" ht="39" customHeight="1" x14ac:dyDescent="0.65">
      <c r="A7" s="165"/>
      <c r="B7" s="251" t="s">
        <v>625</v>
      </c>
      <c r="C7" s="252" t="s">
        <v>366</v>
      </c>
      <c r="D7" s="165">
        <v>3000</v>
      </c>
    </row>
    <row r="8" spans="1:9" x14ac:dyDescent="0.65">
      <c r="A8" s="165"/>
      <c r="B8" s="165"/>
      <c r="C8" s="165" t="s">
        <v>621</v>
      </c>
      <c r="D8" s="165">
        <v>3385</v>
      </c>
    </row>
    <row r="9" spans="1:9" x14ac:dyDescent="0.65">
      <c r="A9" s="165"/>
      <c r="B9" s="165"/>
      <c r="C9" s="165" t="s">
        <v>634</v>
      </c>
      <c r="D9" s="165">
        <v>3500</v>
      </c>
    </row>
    <row r="10" spans="1:9" x14ac:dyDescent="0.65">
      <c r="A10" s="165"/>
      <c r="B10" s="165"/>
      <c r="C10" s="165" t="s">
        <v>623</v>
      </c>
      <c r="D10" s="165">
        <v>4200</v>
      </c>
    </row>
    <row r="11" spans="1:9" x14ac:dyDescent="0.65">
      <c r="A11" s="165"/>
      <c r="B11" s="165"/>
      <c r="C11" s="165" t="s">
        <v>622</v>
      </c>
      <c r="D11" s="165">
        <v>3883</v>
      </c>
    </row>
    <row r="12" spans="1:9" x14ac:dyDescent="0.65">
      <c r="A12" s="165"/>
      <c r="B12" s="165"/>
      <c r="C12" s="165" t="s">
        <v>624</v>
      </c>
      <c r="D12" s="165">
        <v>1044</v>
      </c>
    </row>
    <row r="13" spans="1:9" x14ac:dyDescent="0.65">
      <c r="A13" s="254"/>
      <c r="B13" s="347" t="s">
        <v>635</v>
      </c>
      <c r="C13" s="347"/>
      <c r="D13" s="257">
        <f>SUM(D3:D12)</f>
        <v>36672</v>
      </c>
    </row>
    <row r="14" spans="1:9" x14ac:dyDescent="0.65">
      <c r="A14" s="258">
        <v>2</v>
      </c>
      <c r="B14" s="345" t="s">
        <v>636</v>
      </c>
      <c r="C14" s="345"/>
      <c r="D14" s="345"/>
      <c r="E14" s="250"/>
    </row>
    <row r="15" spans="1:9" x14ac:dyDescent="0.65">
      <c r="A15" s="165"/>
      <c r="B15" s="165" t="s">
        <v>630</v>
      </c>
      <c r="C15" s="165" t="s">
        <v>626</v>
      </c>
      <c r="D15" s="165">
        <v>94494</v>
      </c>
    </row>
    <row r="16" spans="1:9" x14ac:dyDescent="0.65">
      <c r="A16" s="165"/>
      <c r="B16" s="165"/>
      <c r="C16" s="165" t="s">
        <v>627</v>
      </c>
      <c r="D16" s="165">
        <v>110439</v>
      </c>
    </row>
    <row r="17" spans="1:5" x14ac:dyDescent="0.65">
      <c r="A17" s="165"/>
      <c r="B17" s="165"/>
      <c r="C17" s="165" t="s">
        <v>628</v>
      </c>
      <c r="D17" s="165">
        <v>36488</v>
      </c>
    </row>
    <row r="18" spans="1:5" x14ac:dyDescent="0.65">
      <c r="A18" s="258"/>
      <c r="B18" s="348" t="s">
        <v>635</v>
      </c>
      <c r="C18" s="348"/>
      <c r="D18" s="259">
        <f>SUM(D15:D17)</f>
        <v>241421</v>
      </c>
    </row>
    <row r="19" spans="1:5" x14ac:dyDescent="0.65">
      <c r="A19" s="260">
        <v>3</v>
      </c>
      <c r="B19" s="349" t="s">
        <v>629</v>
      </c>
      <c r="C19" s="349"/>
      <c r="D19" s="349"/>
      <c r="E19" s="250"/>
    </row>
    <row r="20" spans="1:5" x14ac:dyDescent="0.65">
      <c r="A20" s="165"/>
      <c r="B20" s="165" t="s">
        <v>631</v>
      </c>
      <c r="C20" s="165" t="s">
        <v>632</v>
      </c>
      <c r="D20" s="165">
        <v>670000</v>
      </c>
    </row>
    <row r="21" spans="1:5" ht="43.5" x14ac:dyDescent="0.65">
      <c r="A21" s="165"/>
      <c r="B21" s="165"/>
      <c r="C21" s="253" t="s">
        <v>644</v>
      </c>
      <c r="D21" s="165">
        <v>222276</v>
      </c>
    </row>
    <row r="22" spans="1:5" x14ac:dyDescent="0.65">
      <c r="A22" s="165"/>
      <c r="B22" s="165"/>
      <c r="C22" s="165" t="s">
        <v>633</v>
      </c>
      <c r="D22" s="165">
        <v>3000</v>
      </c>
    </row>
    <row r="23" spans="1:5" x14ac:dyDescent="0.65">
      <c r="A23" s="260"/>
      <c r="B23" s="342" t="s">
        <v>635</v>
      </c>
      <c r="C23" s="342"/>
      <c r="D23" s="261">
        <f>SUM(D20:D22)</f>
        <v>895276</v>
      </c>
    </row>
    <row r="24" spans="1:5" x14ac:dyDescent="0.65">
      <c r="A24" s="255"/>
      <c r="B24" s="343" t="s">
        <v>181</v>
      </c>
      <c r="C24" s="344"/>
      <c r="D24" s="256">
        <f>D13+D18+D23</f>
        <v>1173369</v>
      </c>
    </row>
  </sheetData>
  <mergeCells count="8">
    <mergeCell ref="B23:C23"/>
    <mergeCell ref="B24:C24"/>
    <mergeCell ref="A1:D1"/>
    <mergeCell ref="B2:D2"/>
    <mergeCell ref="B13:C13"/>
    <mergeCell ref="B18:C18"/>
    <mergeCell ref="B14:D14"/>
    <mergeCell ref="B19:D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WP_to_Sep_21_Combine_All_Budget</vt:lpstr>
      <vt:lpstr>WB_NRGI_FT_Nat-Comine_Budget</vt:lpstr>
      <vt:lpstr>MDTF_Balance_Workplan 29-5-20</vt:lpstr>
      <vt:lpstr>Proposed_Revised(2-6-20WPG)</vt:lpstr>
      <vt:lpstr>Budget_Category</vt:lpstr>
      <vt:lpstr>'WB_NRGI_FT_Nat-Comine_Budget'!Print_Area</vt:lpstr>
      <vt:lpstr>WP_to_Sep_21_Combine_All_Budget!Print_Area</vt:lpstr>
      <vt:lpstr>'WB_NRGI_FT_Nat-Comine_Budget'!Print_Titles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PM</dc:creator>
  <cp:lastModifiedBy>Program Assist</cp:lastModifiedBy>
  <cp:lastPrinted>2020-02-14T05:31:48Z</cp:lastPrinted>
  <dcterms:created xsi:type="dcterms:W3CDTF">2020-01-12T10:21:26Z</dcterms:created>
  <dcterms:modified xsi:type="dcterms:W3CDTF">2020-06-04T11:51:12Z</dcterms:modified>
</cp:coreProperties>
</file>