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codeName="ThisWorkbook" autoCompressPictures="0"/>
  <mc:AlternateContent xmlns:mc="http://schemas.openxmlformats.org/markup-compatibility/2006">
    <mc:Choice Requires="x15">
      <x15ac:absPath xmlns:x15ac="http://schemas.microsoft.com/office/spreadsheetml/2010/11/ac" url="C:\Users\BDO\OneDrive\BDO\14-Business Developp\Myanmar\"/>
    </mc:Choice>
  </mc:AlternateContent>
  <xr:revisionPtr revIDLastSave="0" documentId="13_ncr:1_{E28486D7-34AB-4597-A042-00FABD1F0A9D}" xr6:coauthVersionLast="43" xr6:coauthVersionMax="43" xr10:uidLastSave="{00000000-0000-0000-0000-000000000000}"/>
  <bookViews>
    <workbookView xWindow="-120" yWindow="-120" windowWidth="20730" windowHeight="11160" tabRatio="500" activeTab="3" xr2:uid="{00000000-000D-0000-FFFF-FFFF00000000}"/>
  </bookViews>
  <sheets>
    <sheet name="Introduction" sheetId="6" r:id="rId1"/>
    <sheet name="1. About" sheetId="2" r:id="rId2"/>
    <sheet name="2. Contextual" sheetId="3" r:id="rId3"/>
    <sheet name="3. Revenues" sheetId="10" r:id="rId4"/>
    <sheet name="Revenues - example Norway" sheetId="9" state="hidden" r:id="rId5"/>
    <sheet name="Changelog" sheetId="11" state="hidden"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8" i="10" l="1"/>
  <c r="D79" i="10"/>
  <c r="D80" i="10" l="1"/>
  <c r="AZ45" i="10"/>
  <c r="AZ10" i="10" s="1"/>
  <c r="G56" i="10" l="1"/>
  <c r="G65" i="10"/>
  <c r="G47" i="10"/>
  <c r="CU58" i="10" l="1"/>
  <c r="CT58" i="10"/>
  <c r="CS58" i="10"/>
  <c r="CR58" i="10"/>
  <c r="H16" i="10"/>
  <c r="H14" i="10"/>
  <c r="H56" i="10"/>
  <c r="H55" i="10"/>
  <c r="H54" i="10"/>
  <c r="H53" i="10"/>
  <c r="H65" i="10"/>
  <c r="CP58" i="10"/>
  <c r="CK58" i="10"/>
  <c r="CI58" i="10"/>
  <c r="G13" i="10"/>
  <c r="G15" i="10"/>
  <c r="G30" i="10"/>
  <c r="G58" i="10"/>
  <c r="G45" i="10"/>
  <c r="G50" i="10"/>
  <c r="G69" i="10"/>
  <c r="G29" i="10"/>
  <c r="CE45" i="10" l="1"/>
  <c r="CD45" i="10"/>
  <c r="CC45" i="10"/>
  <c r="CB45" i="10"/>
  <c r="CA15" i="10"/>
  <c r="CA45" i="10"/>
  <c r="BZ15" i="10"/>
  <c r="BX15" i="10"/>
  <c r="BX45" i="10"/>
  <c r="BU15" i="10"/>
  <c r="BT45" i="10"/>
  <c r="BS15" i="10"/>
  <c r="BR45" i="10"/>
  <c r="BP45" i="10"/>
  <c r="BO45" i="10"/>
  <c r="BM45" i="10"/>
  <c r="BL15" i="10"/>
  <c r="BL45" i="10"/>
  <c r="BK15" i="10"/>
  <c r="BK45" i="10"/>
  <c r="BI45" i="10"/>
  <c r="BH45" i="10"/>
  <c r="BF45" i="10"/>
  <c r="BE45" i="10"/>
  <c r="BD45" i="10"/>
  <c r="BC15" i="10"/>
  <c r="BA15" i="10"/>
  <c r="BB45" i="10"/>
  <c r="BA45" i="10"/>
  <c r="AY15" i="10" l="1"/>
  <c r="AY45" i="10"/>
  <c r="AX45" i="10"/>
  <c r="AX10" i="10" s="1"/>
  <c r="AW45" i="10"/>
  <c r="AW10" i="10" s="1"/>
  <c r="AV15" i="10"/>
  <c r="AV45" i="10"/>
  <c r="AU45" i="10"/>
  <c r="AU10" i="10" s="1"/>
  <c r="AT15" i="10"/>
  <c r="AT10" i="10" s="1"/>
  <c r="AT45" i="10"/>
  <c r="AS15" i="10"/>
  <c r="AS45" i="10"/>
  <c r="AS10" i="10" s="1"/>
  <c r="AR45" i="10"/>
  <c r="AR10" i="10" s="1"/>
  <c r="AQ15" i="10"/>
  <c r="AQ45" i="10"/>
  <c r="AQ10" i="10" s="1"/>
  <c r="AP45" i="10"/>
  <c r="AP10" i="10" s="1"/>
  <c r="AO45" i="10"/>
  <c r="AO10" i="10" s="1"/>
  <c r="AN45" i="10"/>
  <c r="AM15" i="10"/>
  <c r="AM45" i="10"/>
  <c r="AM10" i="10" s="1"/>
  <c r="AL45" i="10"/>
  <c r="AL10" i="10" s="1"/>
  <c r="DG10" i="10"/>
  <c r="DF10" i="10"/>
  <c r="DE10" i="10"/>
  <c r="DD10" i="10"/>
  <c r="DC10" i="10"/>
  <c r="DB10" i="10"/>
  <c r="DA10" i="10"/>
  <c r="CZ10" i="10"/>
  <c r="CY10" i="10"/>
  <c r="CX10" i="10"/>
  <c r="CW10" i="10"/>
  <c r="CV10" i="10"/>
  <c r="CU10" i="10"/>
  <c r="CT10" i="10"/>
  <c r="CS10" i="10"/>
  <c r="CR10" i="10"/>
  <c r="CQ10" i="10"/>
  <c r="CP10" i="10"/>
  <c r="CO10" i="10"/>
  <c r="CN10" i="10"/>
  <c r="CM10" i="10"/>
  <c r="CL10" i="10"/>
  <c r="CK10" i="10"/>
  <c r="CJ10" i="10"/>
  <c r="CI10" i="10"/>
  <c r="CH10" i="10"/>
  <c r="CG10" i="10"/>
  <c r="CF10" i="10"/>
  <c r="CE10" i="10"/>
  <c r="CD10" i="10"/>
  <c r="CC10" i="10"/>
  <c r="CB10" i="10"/>
  <c r="CA10" i="10"/>
  <c r="BZ10" i="10"/>
  <c r="BY10" i="10"/>
  <c r="BX10" i="10"/>
  <c r="BW10" i="10"/>
  <c r="BV10" i="10"/>
  <c r="BU10" i="10"/>
  <c r="BT10" i="10"/>
  <c r="BS10" i="10"/>
  <c r="BR10" i="10"/>
  <c r="BQ10" i="10"/>
  <c r="BP10" i="10"/>
  <c r="BO10" i="10"/>
  <c r="BN10" i="10"/>
  <c r="BM10" i="10"/>
  <c r="BL10" i="10"/>
  <c r="BK10" i="10"/>
  <c r="BJ10" i="10"/>
  <c r="BI10" i="10"/>
  <c r="BH10" i="10"/>
  <c r="BG10" i="10"/>
  <c r="BF10" i="10"/>
  <c r="BE10" i="10"/>
  <c r="BD10" i="10"/>
  <c r="BC10" i="10"/>
  <c r="BB10" i="10"/>
  <c r="BA10" i="10"/>
  <c r="AY10" i="10"/>
  <c r="AV10" i="10"/>
  <c r="AN10" i="10"/>
  <c r="AK45" i="10"/>
  <c r="H15" i="10" l="1"/>
  <c r="G55" i="10"/>
  <c r="G64" i="10"/>
  <c r="G63" i="10"/>
  <c r="G62" i="10"/>
  <c r="G61" i="10"/>
  <c r="AG10" i="10" l="1"/>
  <c r="AD10" i="10" l="1"/>
  <c r="AC10" i="10"/>
  <c r="AB10" i="10"/>
  <c r="AA10" i="10"/>
  <c r="Z10" i="10"/>
  <c r="AE10" i="10"/>
  <c r="Y10" i="10"/>
  <c r="X10" i="10"/>
  <c r="W10" i="10"/>
  <c r="V10" i="10"/>
  <c r="U10" i="10"/>
  <c r="T10" i="10"/>
  <c r="S10" i="10"/>
  <c r="R10" i="10"/>
  <c r="C123" i="10" l="1"/>
  <c r="C122" i="10"/>
  <c r="H69" i="10"/>
  <c r="H67" i="10"/>
  <c r="H66" i="10"/>
  <c r="H64" i="10"/>
  <c r="H63" i="10"/>
  <c r="H62" i="10"/>
  <c r="H61" i="10"/>
  <c r="H60" i="10"/>
  <c r="H58" i="10"/>
  <c r="H57" i="10"/>
  <c r="H52" i="10"/>
  <c r="H51" i="10"/>
  <c r="H49" i="10"/>
  <c r="H47" i="10"/>
  <c r="H46" i="10"/>
  <c r="H45" i="10"/>
  <c r="H43" i="10"/>
  <c r="H42" i="10"/>
  <c r="H41" i="10"/>
  <c r="H36" i="10"/>
  <c r="H32" i="10"/>
  <c r="H31" i="10"/>
  <c r="H30" i="10"/>
  <c r="H29" i="10"/>
  <c r="H27" i="10"/>
  <c r="H26" i="10"/>
  <c r="H25" i="10"/>
  <c r="H23" i="10"/>
  <c r="H22" i="10"/>
  <c r="H21" i="10"/>
  <c r="H19" i="10"/>
  <c r="H18" i="10"/>
  <c r="G74" i="10"/>
  <c r="H13" i="10"/>
  <c r="AJ10" i="10"/>
  <c r="AI10" i="10"/>
  <c r="AH10" i="10"/>
  <c r="AF10" i="10"/>
  <c r="Q10" i="10"/>
  <c r="P10" i="10"/>
  <c r="O10" i="10"/>
  <c r="N10" i="10"/>
  <c r="M10" i="10"/>
  <c r="L10" i="10"/>
  <c r="K10" i="10"/>
  <c r="J10" i="10"/>
  <c r="I10" i="10"/>
  <c r="D127" i="3" l="1"/>
  <c r="D124" i="3"/>
  <c r="D123" i="3"/>
  <c r="D122" i="3"/>
  <c r="D22" i="3" l="1"/>
  <c r="D21" i="3"/>
  <c r="D18" i="3"/>
  <c r="D17" i="3"/>
  <c r="D14" i="3"/>
  <c r="H10" i="9" l="1"/>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H51" i="9"/>
  <c r="H52" i="9"/>
  <c r="H53" i="9"/>
  <c r="G56" i="9"/>
  <c r="O9" i="9"/>
  <c r="P9" i="9"/>
  <c r="Q9" i="9"/>
  <c r="R9" i="9"/>
  <c r="S9" i="9"/>
  <c r="T9" i="9"/>
  <c r="U9" i="9"/>
  <c r="V9" i="9"/>
  <c r="W9" i="9"/>
  <c r="X9" i="9"/>
  <c r="Y9" i="9"/>
  <c r="Z9" i="9"/>
  <c r="AA9" i="9"/>
  <c r="AB9" i="9"/>
  <c r="AC9" i="9"/>
  <c r="AD9" i="9"/>
  <c r="AE9" i="9"/>
  <c r="AF9" i="9"/>
  <c r="AG9" i="9"/>
  <c r="AH9" i="9"/>
  <c r="AI9" i="9"/>
  <c r="AJ9" i="9"/>
  <c r="AK9" i="9"/>
  <c r="AL9" i="9"/>
  <c r="AM9" i="9"/>
  <c r="AN9" i="9"/>
  <c r="AO9" i="9"/>
  <c r="AP9" i="9"/>
  <c r="AQ9" i="9"/>
  <c r="AR9" i="9"/>
  <c r="AS9" i="9"/>
  <c r="AT9" i="9"/>
  <c r="AU9" i="9"/>
  <c r="AV9" i="9"/>
  <c r="AW9" i="9"/>
  <c r="AX9" i="9"/>
  <c r="AY9" i="9"/>
  <c r="AZ9" i="9"/>
  <c r="BA9" i="9"/>
  <c r="BB9" i="9"/>
  <c r="BC9" i="9"/>
  <c r="BD9" i="9"/>
  <c r="BE9" i="9"/>
  <c r="BF9" i="9"/>
  <c r="BG9" i="9"/>
  <c r="BH9" i="9"/>
  <c r="BI9" i="9"/>
  <c r="BJ9" i="9"/>
  <c r="BK9" i="9"/>
  <c r="BL9" i="9"/>
  <c r="BM9" i="9"/>
  <c r="BN9" i="9"/>
  <c r="BO9" i="9"/>
  <c r="BP9" i="9"/>
  <c r="BQ9" i="9"/>
  <c r="BR9" i="9"/>
  <c r="BS9" i="9"/>
  <c r="BT9" i="9"/>
  <c r="BU9" i="9"/>
  <c r="BV9" i="9"/>
  <c r="BW9" i="9"/>
  <c r="BX9" i="9"/>
  <c r="BY9" i="9"/>
  <c r="N9" i="9"/>
  <c r="M9" i="9"/>
  <c r="L9" i="9"/>
  <c r="K9" i="9"/>
  <c r="J9" i="9"/>
  <c r="I9" i="9"/>
  <c r="H50" i="10"/>
  <c r="H74" i="10" s="1"/>
  <c r="AK10" i="10"/>
  <c r="H56" i="9" l="1"/>
</calcChain>
</file>

<file path=xl/sharedStrings.xml><?xml version="1.0" encoding="utf-8"?>
<sst xmlns="http://schemas.openxmlformats.org/spreadsheetml/2006/main" count="1326" uniqueCount="607">
  <si>
    <t>Other revenue</t>
  </si>
  <si>
    <t>Commodities</t>
  </si>
  <si>
    <t>4Sea Energy AS</t>
  </si>
  <si>
    <t>A/S Norske Shell</t>
  </si>
  <si>
    <t>Bayerngas Norge AS</t>
  </si>
  <si>
    <t>not included</t>
  </si>
  <si>
    <t>not applicable</t>
  </si>
  <si>
    <t>included</t>
  </si>
  <si>
    <t>State Direct Financial Investment (Petoro)</t>
  </si>
  <si>
    <t>Dividend from ownership of Statoil</t>
  </si>
  <si>
    <t>Oil/gas</t>
  </si>
  <si>
    <t>Name of revenue stream in country</t>
  </si>
  <si>
    <t>Bayerngas Produksjon Norge AS</t>
  </si>
  <si>
    <t>BG Norge AS</t>
  </si>
  <si>
    <t>BP Norge AS</t>
  </si>
  <si>
    <t>Brigde Energy Norge AS</t>
  </si>
  <si>
    <t>Capricorn Norge AS</t>
  </si>
  <si>
    <t>Centrica Energi NUF</t>
  </si>
  <si>
    <t>Chevron Norge AS</t>
  </si>
  <si>
    <t>Concedo ASA</t>
  </si>
  <si>
    <t>ConocoPhillips Skandinavia AS</t>
  </si>
  <si>
    <t>Core Energy AS</t>
  </si>
  <si>
    <t>Dana Petroleum Norway AS2)</t>
  </si>
  <si>
    <t>Det Norske Oljeselskap ASA</t>
  </si>
  <si>
    <t>DONG E&amp;P Norge AS</t>
  </si>
  <si>
    <t>E&amp;P Holding AS</t>
  </si>
  <si>
    <t>E.ON E&amp;P Norge AS</t>
  </si>
  <si>
    <t>Edison International Norway Branch NUF</t>
  </si>
  <si>
    <t>Eni Norge AS</t>
  </si>
  <si>
    <t>EnQuest Norge AS</t>
  </si>
  <si>
    <t>Enterprise Oil Norge AS</t>
  </si>
  <si>
    <t>Explora Petroleum AS</t>
  </si>
  <si>
    <t>ExxonMobil Expl. and Prod. Norway AS2)</t>
  </si>
  <si>
    <t>Faroe Petroleum Norge AS</t>
  </si>
  <si>
    <t>Fortis Petroleum Norway AS</t>
  </si>
  <si>
    <t>Front Exploration AS</t>
  </si>
  <si>
    <t>GDF SUEZ E&amp;P Norge AS</t>
  </si>
  <si>
    <t>Hess Norge AS</t>
  </si>
  <si>
    <t>Idemitsu Petroleum Norge AS</t>
  </si>
  <si>
    <t>Infragas Norge AS</t>
  </si>
  <si>
    <t>Lotos Expl. and Prod.  Norge AS</t>
  </si>
  <si>
    <t>Lukoil Oil Company</t>
  </si>
  <si>
    <t>Lundin Norway AS</t>
  </si>
  <si>
    <t>Maersk Oil Norway AS</t>
  </si>
  <si>
    <t>Marathon Oil Norge AS</t>
  </si>
  <si>
    <t>Nexen Exploration Norge AS</t>
  </si>
  <si>
    <t>Njord Gas Infrastructure AS</t>
  </si>
  <si>
    <t>Noreco Norway AS</t>
  </si>
  <si>
    <t>Norpipe Oil AS</t>
  </si>
  <si>
    <t>Norsea Gas AS</t>
  </si>
  <si>
    <t>Norske AEDC AS</t>
  </si>
  <si>
    <t>North Energy ASA</t>
  </si>
  <si>
    <t>Norwegian Energy Company ASA</t>
  </si>
  <si>
    <t>OMV(Norge) AS</t>
  </si>
  <si>
    <t>Petoro AS</t>
  </si>
  <si>
    <t>Petrolia Norway AS</t>
  </si>
  <si>
    <t>PGNiG Norway AS</t>
  </si>
  <si>
    <t>Premier Oil Norge AS</t>
  </si>
  <si>
    <t>Repsol Exploración SA</t>
  </si>
  <si>
    <t>Repsol Exploration Norge AS</t>
  </si>
  <si>
    <t xml:space="preserve">RN Nordic Oil AS  </t>
  </si>
  <si>
    <t>Rocksource ASA</t>
  </si>
  <si>
    <t>RWE-DEA Norge AS</t>
  </si>
  <si>
    <t>Silex Gas Norway AS</t>
  </si>
  <si>
    <t>Skagen 44 AS</t>
  </si>
  <si>
    <t>Skeie Energy AS</t>
  </si>
  <si>
    <t>Solveig Gas Norway AS</t>
  </si>
  <si>
    <t>Statoil ASA</t>
  </si>
  <si>
    <t>Stratum Energy AS</t>
  </si>
  <si>
    <t>Suncor Energy Norge AS</t>
  </si>
  <si>
    <t>Svenska Petroleum Exploration AS</t>
  </si>
  <si>
    <t>Talisman Energy Norge AS</t>
  </si>
  <si>
    <t>Total E &amp; P Norge AS</t>
  </si>
  <si>
    <t>Tullow Oil (Bream) Norge AS</t>
  </si>
  <si>
    <t>Tullow Oil Norge AS</t>
  </si>
  <si>
    <t>Valiant Petroleum Norge AS</t>
  </si>
  <si>
    <t>VNG Norge AS</t>
  </si>
  <si>
    <t>Wintershall Norge AS</t>
  </si>
  <si>
    <t>Subtotals</t>
  </si>
  <si>
    <t>Legal name</t>
  </si>
  <si>
    <t>Identification #</t>
  </si>
  <si>
    <t>Start Date</t>
  </si>
  <si>
    <t>End Date</t>
  </si>
  <si>
    <t>Oil</t>
  </si>
  <si>
    <t>Gas</t>
  </si>
  <si>
    <t>Mining</t>
  </si>
  <si>
    <t>Other</t>
  </si>
  <si>
    <t>&lt;URL&gt;</t>
  </si>
  <si>
    <t>Other file, link</t>
  </si>
  <si>
    <t>By Revenue Stream</t>
  </si>
  <si>
    <t>By Company</t>
  </si>
  <si>
    <t>Entry</t>
  </si>
  <si>
    <t>Contextual information</t>
  </si>
  <si>
    <t>Information about awarding and transfer of licences</t>
  </si>
  <si>
    <t>Add rows as necessary to add other sectors</t>
  </si>
  <si>
    <t>PDF</t>
  </si>
  <si>
    <t>If multiple files, add rows as necessary.</t>
  </si>
  <si>
    <t xml:space="preserve">   Part 2 addresses availability of contextual data, in line with requirements 3 and 4</t>
  </si>
  <si>
    <t>Fields marked in orange are required.</t>
  </si>
  <si>
    <t>Fields marked in yellow are optional.</t>
  </si>
  <si>
    <t>By Project</t>
  </si>
  <si>
    <t>Country</t>
  </si>
  <si>
    <t>Fiscal Year Covered in the Report</t>
  </si>
  <si>
    <t>Independent Administrator</t>
  </si>
  <si>
    <t>Date that the EITI Report was published (i.e., made publically available)</t>
  </si>
  <si>
    <t xml:space="preserve">Sectors Covered </t>
  </si>
  <si>
    <t>Web links to EITI Report, on the national EITI website</t>
  </si>
  <si>
    <t>The data will be used to populate the global EITI data repository, available on the international EITI website.</t>
  </si>
  <si>
    <t>The form has 3 parts (worksheets):</t>
  </si>
  <si>
    <t xml:space="preserve"> </t>
  </si>
  <si>
    <t>Entry. If yes, provide a reference to the relevant section in the EITI Report.</t>
  </si>
  <si>
    <t>Included in EITI Report</t>
  </si>
  <si>
    <t>Norges Bank</t>
  </si>
  <si>
    <t>Number of reporting government entities</t>
  </si>
  <si>
    <t>Number of reporting companies</t>
  </si>
  <si>
    <t>If no, provide a brief explanation.</t>
  </si>
  <si>
    <t>Publicly available registry of beneficial ownership</t>
  </si>
  <si>
    <t>Reporting currency</t>
  </si>
  <si>
    <t>11E</t>
  </si>
  <si>
    <t>Taxes</t>
  </si>
  <si>
    <t>111E</t>
  </si>
  <si>
    <t>Taxes on income, profits and capital gains</t>
  </si>
  <si>
    <t>1112E1</t>
  </si>
  <si>
    <t xml:space="preserve">   Ordinary taxes on income, profits and capital gains</t>
  </si>
  <si>
    <t>1112E2</t>
  </si>
  <si>
    <t xml:space="preserve">   Extraordinary taxes on income, profits and capital gains</t>
  </si>
  <si>
    <t>112E</t>
  </si>
  <si>
    <t>Taxes on payroll and workforce</t>
  </si>
  <si>
    <t>113E</t>
  </si>
  <si>
    <t>Taxes on property</t>
  </si>
  <si>
    <t>114E</t>
  </si>
  <si>
    <t>Taxes on goods and services</t>
  </si>
  <si>
    <t>1141E</t>
  </si>
  <si>
    <t xml:space="preserve">   General taxes on goods and services (VAT, sales tax, turnover tax)</t>
  </si>
  <si>
    <t>1142E</t>
  </si>
  <si>
    <t xml:space="preserve">   Excise taxes</t>
  </si>
  <si>
    <t>1143E</t>
  </si>
  <si>
    <t xml:space="preserve">   Profits of natural resource fiscal monopolies</t>
  </si>
  <si>
    <t>1145E</t>
  </si>
  <si>
    <t xml:space="preserve">   Taxes on use of goods/permission to use goods or perform activities</t>
  </si>
  <si>
    <t>114521E</t>
  </si>
  <si>
    <t xml:space="preserve">      Licence fees</t>
  </si>
  <si>
    <t>114522E</t>
  </si>
  <si>
    <t xml:space="preserve">      Emission and pollution taxes</t>
  </si>
  <si>
    <t>11451E</t>
  </si>
  <si>
    <t xml:space="preserve">      Motor vehicle taxes</t>
  </si>
  <si>
    <t>115E</t>
  </si>
  <si>
    <t>Taxes on international trade and transactions</t>
  </si>
  <si>
    <t>1151E</t>
  </si>
  <si>
    <t xml:space="preserve">   Customs and other import duties</t>
  </si>
  <si>
    <t>1152E</t>
  </si>
  <si>
    <t xml:space="preserve">   Taxes on exports</t>
  </si>
  <si>
    <t>1153E1</t>
  </si>
  <si>
    <t xml:space="preserve">   Profits of natural resource export monopolies</t>
  </si>
  <si>
    <t>116E</t>
  </si>
  <si>
    <t>Other taxes payable by natural resource companies</t>
  </si>
  <si>
    <t>12E</t>
  </si>
  <si>
    <t>Social contributions</t>
  </si>
  <si>
    <t>1212E</t>
  </si>
  <si>
    <t>Social security employer contributions</t>
  </si>
  <si>
    <t>14E</t>
  </si>
  <si>
    <t>141E</t>
  </si>
  <si>
    <t>Property income</t>
  </si>
  <si>
    <t>1412E</t>
  </si>
  <si>
    <t xml:space="preserve">   Dividends</t>
  </si>
  <si>
    <t>1412E1</t>
  </si>
  <si>
    <t xml:space="preserve">      From state-owned enterprises</t>
  </si>
  <si>
    <t>1412E2</t>
  </si>
  <si>
    <t xml:space="preserve">      From government participation (equity)</t>
  </si>
  <si>
    <t>1413E</t>
  </si>
  <si>
    <t xml:space="preserve">   Withdrawals from income of quasi-corporations</t>
  </si>
  <si>
    <t>1415E</t>
  </si>
  <si>
    <t xml:space="preserve">   Rent</t>
  </si>
  <si>
    <t>1415E1</t>
  </si>
  <si>
    <t xml:space="preserve">      Royalties</t>
  </si>
  <si>
    <t>1415E2</t>
  </si>
  <si>
    <t xml:space="preserve">      Bonuses</t>
  </si>
  <si>
    <t xml:space="preserve">      Production entitlements (in-kind or cash)</t>
  </si>
  <si>
    <t>1415E31</t>
  </si>
  <si>
    <t xml:space="preserve">         Delivered/paid directly to government</t>
  </si>
  <si>
    <t>1415E32</t>
  </si>
  <si>
    <t xml:space="preserve">         Delivered/paid to state-owned enterprise(s)</t>
  </si>
  <si>
    <t>1415E4</t>
  </si>
  <si>
    <t>1415E5</t>
  </si>
  <si>
    <t>142E</t>
  </si>
  <si>
    <t>Sales of goods and services</t>
  </si>
  <si>
    <t>1421E</t>
  </si>
  <si>
    <t xml:space="preserve">   Sales of goods and services by government units</t>
  </si>
  <si>
    <t>1422E</t>
  </si>
  <si>
    <t xml:space="preserve">   Administrative fees for government services</t>
  </si>
  <si>
    <t>143E</t>
  </si>
  <si>
    <t>Fines, penalties, and forfeits</t>
  </si>
  <si>
    <t>144E1</t>
  </si>
  <si>
    <t>Voluntary transfers to government (donations)</t>
  </si>
  <si>
    <t>GFS codes of revenue streams from extractive companies</t>
  </si>
  <si>
    <t>Government revenues from extractive companies, per revenue stream</t>
  </si>
  <si>
    <t>This worksheet covers (A) identification of whether a revenue stream is included in the EITI Report, (B) listing the revenue streams according to their corresponding classification,</t>
  </si>
  <si>
    <t>A. GFS classification of revenue streams</t>
  </si>
  <si>
    <t>C. Companies</t>
  </si>
  <si>
    <t xml:space="preserve">      Compulsory transfers to government (infrastructure and other)</t>
  </si>
  <si>
    <t xml:space="preserve">      Other rent payments</t>
  </si>
  <si>
    <t>E. Notes</t>
  </si>
  <si>
    <t>(C) listing the companies that are reporting, (D) recording the payments per revenue stream and company, and (E) any notes to explain the information provided.</t>
  </si>
  <si>
    <t>Enter companies included in the EITI Report. Add columns as necessary</t>
  </si>
  <si>
    <t>Figures for payments broken down by ordinary tax and special tax are not available. Therefore figures under Special Tax include also CIT.</t>
  </si>
  <si>
    <t>Enter companies included in the EITI Report. Add columns as necessary.</t>
  </si>
  <si>
    <t>Indicate if revenue stream is "included",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</si>
  <si>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Record figures as reported by government, corrected after reconcilation.</t>
  </si>
  <si>
    <t>About</t>
  </si>
  <si>
    <t xml:space="preserve">   Part 1 covers the basic characteristics about the report</t>
  </si>
  <si>
    <t>Template for Summary Data from the EITI Report</t>
  </si>
  <si>
    <t>Registry 2</t>
  </si>
  <si>
    <t>ISO currency code</t>
  </si>
  <si>
    <t>Publicly available registry of contracts</t>
  </si>
  <si>
    <t>Add/remove rows as necessary, per registry</t>
  </si>
  <si>
    <t>Example: Norway's 2012 EITI Report.</t>
  </si>
  <si>
    <t>Add rows as necessary</t>
  </si>
  <si>
    <t>If yes, link to government's accounts, where revenues are recorded</t>
  </si>
  <si>
    <t>Name</t>
  </si>
  <si>
    <t>Email address</t>
  </si>
  <si>
    <t>Organisation</t>
  </si>
  <si>
    <t>Contact details to person who has completed this template</t>
  </si>
  <si>
    <t>Unit</t>
  </si>
  <si>
    <t>Modify entry in "unit" column if other than default.</t>
  </si>
  <si>
    <t>Oil, volume</t>
  </si>
  <si>
    <t>Gas, volume</t>
  </si>
  <si>
    <t>If incomplete or not available, provide an explanation</t>
  </si>
  <si>
    <t>Does the report address the government's policy on contract disclosure?</t>
  </si>
  <si>
    <t>Are contracts disclosed?</t>
  </si>
  <si>
    <t>Link to other financial reports, where revenues are recorded</t>
  </si>
  <si>
    <t>Add rows if necessary, per registry</t>
  </si>
  <si>
    <t>Does the report address the issue?</t>
  </si>
  <si>
    <t>Does the report address social expenditures?</t>
  </si>
  <si>
    <t>Total volume sold? (indicate unit, add rows as needed)</t>
  </si>
  <si>
    <t>Total revenue received?</t>
  </si>
  <si>
    <t>If yes, what was the total revenue received?</t>
  </si>
  <si>
    <t>Does the report address transportation revenues?</t>
  </si>
  <si>
    <t>Does the report address sub-national payments?</t>
  </si>
  <si>
    <t>Does the report address sub-national transfers?</t>
  </si>
  <si>
    <t>Name of receiving government agency</t>
  </si>
  <si>
    <t>Oljeskattekontoret (Petroleum Tax Office)</t>
  </si>
  <si>
    <t>Oljedirektoratet (Norwegian Petroluem Directorate)</t>
  </si>
  <si>
    <t>Toll- og avgiftsdirektoratet (Directorate of Customs and Excise)</t>
  </si>
  <si>
    <t>NOX avgift (NOX Fee)</t>
  </si>
  <si>
    <t>CO2 avgift (CO2 Fee)</t>
  </si>
  <si>
    <t>Arealavgift (Area Fee)</t>
  </si>
  <si>
    <t>TOTAL, reconciled</t>
  </si>
  <si>
    <t>Revenue, as disclosed by government</t>
  </si>
  <si>
    <t xml:space="preserve">TOTAL, disclosed by government </t>
  </si>
  <si>
    <t>Norway is a special case in that payments from all companies are reconciled down to zero. In most countries, the figures provided in section (B) and the sub-total in (D) will differ.</t>
  </si>
  <si>
    <t>Currency unit</t>
  </si>
  <si>
    <t>D. Reconciled revenue streams per company</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</si>
  <si>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</si>
  <si>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Changelog</t>
  </si>
  <si>
    <t>1.0</t>
  </si>
  <si>
    <t>Version</t>
  </si>
  <si>
    <t>Date</t>
  </si>
  <si>
    <t>Comment</t>
  </si>
  <si>
    <t>First published version.</t>
  </si>
  <si>
    <t>1.0a</t>
  </si>
  <si>
    <t>Minor corrections to bring English version of "Revenues - example Norway", to bring it in-line with changes to "3 Revenues"</t>
  </si>
  <si>
    <t>Comments</t>
  </si>
  <si>
    <t>Direct URL to source, or to section in EITI Report</t>
  </si>
  <si>
    <t>Add rows as necessary to add other disaggregations</t>
  </si>
  <si>
    <t>B. Revenue streams (including revenues from extractive industries outside reconciliation)</t>
  </si>
  <si>
    <t xml:space="preserve">The International Secretariat can provide advice and support on request. Please contact </t>
  </si>
  <si>
    <t>1.1</t>
  </si>
  <si>
    <t>Suggested additions/changes in red boxes</t>
  </si>
  <si>
    <t>Suggested removals in red text</t>
  </si>
  <si>
    <t>Electronic data file (CSV, excel)</t>
  </si>
  <si>
    <t>B. Revenue streams (including non-reconciled)</t>
  </si>
  <si>
    <r>
      <t xml:space="preserve">Separating columns in </t>
    </r>
    <r>
      <rPr>
        <i/>
        <sz val="10"/>
        <color theme="1"/>
        <rFont val="Calibri"/>
        <family val="2"/>
        <scheme val="minor"/>
      </rPr>
      <t>3. Revenues</t>
    </r>
    <r>
      <rPr>
        <sz val="10"/>
        <color theme="1"/>
        <rFont val="Calibri"/>
        <family val="2"/>
        <scheme val="minor"/>
      </rPr>
      <t xml:space="preserve"> are removed</t>
    </r>
  </si>
  <si>
    <t>&lt;Choose option&gt;</t>
  </si>
  <si>
    <t>Gross Domestic Product - all sectors</t>
  </si>
  <si>
    <t>Government revenue - extractive industries</t>
  </si>
  <si>
    <t>Government revenue - all sectors</t>
  </si>
  <si>
    <t>Gross Domestic Product - extractive industries (Gross Value Added)</t>
  </si>
  <si>
    <t>Exports - extractive industries</t>
  </si>
  <si>
    <t>Exports - all sectors</t>
  </si>
  <si>
    <t>Are EI revenues recorded in the government accounts/budget?</t>
  </si>
  <si>
    <t>Indicate if revenue stream is "included and reconciled", "included and partially reconciled", "included and not reconciled", "not applicable" or "not included" in the EITI Report. If included, enter the revenue streams in the box titled "Revenue streams".
The letter E in the GFS codes means that these are the codes used for the revenues from extractive companies. The digits to the left of an E are actual GFS codes. The digits to the right of an E are subcategories created exclusively for revenues from extractive companies.</t>
  </si>
  <si>
    <t>Enter revenue streams included in EITI Report. If more than one revenue streams fall under the same GFS classification, copy the row and paste it as a new row. 
Only payments to governments from companies on their own behalf are to be included. Payments to governments from companies on behalf of their employees are to be excluded (for example, withheld personal income tax/PAYE, employee social security contributions). In the third column, enter total figure of each revenue stream as disclosed by government, including also revenues that were not reconciled.</t>
  </si>
  <si>
    <t>1.1a</t>
  </si>
  <si>
    <t>Suggested changes approved</t>
  </si>
  <si>
    <t>1415E3</t>
  </si>
  <si>
    <t>Sector</t>
  </si>
  <si>
    <t>Oil &amp; Gas</t>
  </si>
  <si>
    <t>Gold</t>
  </si>
  <si>
    <t>1000 NOK</t>
  </si>
  <si>
    <t>Conversion rate utilised.  USD 1 =</t>
  </si>
  <si>
    <t>GFS codes</t>
  </si>
  <si>
    <t>GFS Descriptions</t>
  </si>
  <si>
    <t>data@eiti.org.</t>
  </si>
  <si>
    <t>Selskapsskatt</t>
  </si>
  <si>
    <t>Særskatt (Special Tax)</t>
  </si>
  <si>
    <t>Disaggregation of Data</t>
  </si>
  <si>
    <t>Oil, value</t>
  </si>
  <si>
    <t>Gas, value</t>
  </si>
  <si>
    <t>Tonnes</t>
  </si>
  <si>
    <t>Included and reconciled</t>
  </si>
  <si>
    <t>Included not reconciled</t>
  </si>
  <si>
    <r>
      <t xml:space="preserve">Record figures as </t>
    </r>
    <r>
      <rPr>
        <b/>
        <i/>
        <sz val="10"/>
        <color theme="1"/>
        <rFont val="Calibri"/>
        <family val="2"/>
        <scheme val="minor"/>
      </rPr>
      <t>reported by government</t>
    </r>
    <r>
      <rPr>
        <i/>
        <sz val="10"/>
        <color theme="1"/>
        <rFont val="Calibri"/>
        <family val="2"/>
        <scheme val="minor"/>
      </rPr>
      <t>, corrected after reconcilation.</t>
    </r>
  </si>
  <si>
    <t>Link to open data policy</t>
  </si>
  <si>
    <t>Public register of licences, oil</t>
  </si>
  <si>
    <t>Public register of licences, mining</t>
  </si>
  <si>
    <t>Company identifier name/source</t>
  </si>
  <si>
    <t>Please include any additional information you wish to highlight regarding revenue data here.</t>
  </si>
  <si>
    <t>Contribution of extractive industries to economy (3.4)</t>
  </si>
  <si>
    <t>Production volume and value (3.5.a)</t>
  </si>
  <si>
    <t>Export volume and value (3.5.b)</t>
  </si>
  <si>
    <t>Distribution of revenues from extractive industries (3.7.a)</t>
  </si>
  <si>
    <t>Register of licences (3.9)</t>
  </si>
  <si>
    <t>Allocation of licences (3.10)</t>
  </si>
  <si>
    <t>Beneficial ownership (3.11)</t>
  </si>
  <si>
    <t>Contracts (3.12)</t>
  </si>
  <si>
    <t>Sale of the state’s share of production or other sales collected in-kind (4.1.c)</t>
  </si>
  <si>
    <t>Infrastructure provisions and barter arrangements (4.1.d)?</t>
  </si>
  <si>
    <t>Social expenditures (4.1.e)</t>
  </si>
  <si>
    <t>Transportation revenues (4.1.f)</t>
  </si>
  <si>
    <t>Sub-national payments (4.2.d)?</t>
  </si>
  <si>
    <t>Sub-national transfers (4.2.e)?</t>
  </si>
  <si>
    <t>Version 1.1 as of 05 March 2015</t>
  </si>
  <si>
    <t>According to the EITI Standard §5.3.b:</t>
  </si>
  <si>
    <t>“Summary data from each EITI Report should be submitted electronically to the International Secretariat according to the standardised reporting format provided by the International Secretariat”</t>
  </si>
  <si>
    <t xml:space="preserve">   Part 3 covers data on government revenues per revenue stream and company. An example of this part using Norway's 2012 EITI Report is available in a final worksheet</t>
  </si>
  <si>
    <r>
      <t xml:space="preserve">This template should be completed in full and </t>
    </r>
    <r>
      <rPr>
        <u/>
        <sz val="11"/>
        <color rgb="FF000000"/>
        <rFont val="Calibri"/>
        <family val="2"/>
        <scheme val="minor"/>
      </rPr>
      <t>submitted by email</t>
    </r>
    <r>
      <rPr>
        <sz val="11"/>
        <rFont val="Calibri"/>
        <family val="2"/>
        <scheme val="minor"/>
      </rPr>
      <t xml:space="preserve"> by the national secretariat </t>
    </r>
    <r>
      <rPr>
        <sz val="11"/>
        <color rgb="FF000000"/>
        <rFont val="Calibri"/>
        <family val="2"/>
        <scheme val="minor"/>
      </rPr>
      <t xml:space="preserve">to the International EITI Secretariat following the publication of the report. </t>
    </r>
  </si>
  <si>
    <t>Myanmar</t>
  </si>
  <si>
    <t>Moorstephens LLP</t>
  </si>
  <si>
    <t>Oil &amp; Gas transportation
Pearls</t>
  </si>
  <si>
    <t>http://myanmareiti.org/my/other-reports</t>
  </si>
  <si>
    <t>Yes</t>
  </si>
  <si>
    <t>MMK (Myanmar Kyat)</t>
  </si>
  <si>
    <t>No</t>
  </si>
  <si>
    <t>US$ 1 = MMK 1,223.58</t>
  </si>
  <si>
    <t>million MMK</t>
  </si>
  <si>
    <t>Section 3.9. Contribution to the Economy</t>
  </si>
  <si>
    <t>Barrels</t>
  </si>
  <si>
    <t>Section 1.2. Production and exports</t>
  </si>
  <si>
    <t>MMscf</t>
  </si>
  <si>
    <t>Condensate, volume</t>
  </si>
  <si>
    <t>Condensate, value</t>
  </si>
  <si>
    <t>Ruby &amp; Sapphire, volume</t>
  </si>
  <si>
    <t>carats</t>
  </si>
  <si>
    <t>Appendix 6: Production and export detail</t>
  </si>
  <si>
    <t>Ruby &amp; Sapphire, value</t>
  </si>
  <si>
    <t>Assorted Colour Gem, volume</t>
  </si>
  <si>
    <t>Kg</t>
  </si>
  <si>
    <t>Assorted Colour Gem, value</t>
  </si>
  <si>
    <t xml:space="preserve"> Jade, Quartzite &amp; Amber, volume</t>
  </si>
  <si>
    <t xml:space="preserve"> Jade, Quartzite &amp; Amber, value</t>
  </si>
  <si>
    <t xml:space="preserve"> Lead Ore, volume</t>
  </si>
  <si>
    <t xml:space="preserve"> Lead Ore, value</t>
  </si>
  <si>
    <t xml:space="preserve"> Lead Concentrate, volume</t>
  </si>
  <si>
    <t xml:space="preserve"> Lead Concentrate, value</t>
  </si>
  <si>
    <t xml:space="preserve"> Zinc Ore, volume</t>
  </si>
  <si>
    <t xml:space="preserve"> Zinc Ore, value</t>
  </si>
  <si>
    <t xml:space="preserve"> Copper Ore, volume</t>
  </si>
  <si>
    <t xml:space="preserve"> Copper Ore, value</t>
  </si>
  <si>
    <t xml:space="preserve"> Iron Ore, volume</t>
  </si>
  <si>
    <t xml:space="preserve"> Iron Ore, value</t>
  </si>
  <si>
    <t xml:space="preserve"> Anitimony Ore, volume</t>
  </si>
  <si>
    <t xml:space="preserve"> Anitimony Ore, value</t>
  </si>
  <si>
    <t xml:space="preserve"> Anitimony Concenteate, volume</t>
  </si>
  <si>
    <t xml:space="preserve"> Anitimony Concenteate, value</t>
  </si>
  <si>
    <t xml:space="preserve"> Zinc Concentrate, volume</t>
  </si>
  <si>
    <t xml:space="preserve"> Zinc Concentrate, value</t>
  </si>
  <si>
    <t xml:space="preserve"> Chromium Ore, volume</t>
  </si>
  <si>
    <t xml:space="preserve"> Chromium Ore, value</t>
  </si>
  <si>
    <t xml:space="preserve"> Tin, volume</t>
  </si>
  <si>
    <t xml:space="preserve"> Tin, value</t>
  </si>
  <si>
    <t xml:space="preserve"> Tungsten, volume</t>
  </si>
  <si>
    <t xml:space="preserve"> Tungsten, value</t>
  </si>
  <si>
    <t xml:space="preserve"> Tin/Tungsten Mixed, volume</t>
  </si>
  <si>
    <t xml:space="preserve"> Tin/Tungsten Mixed, value</t>
  </si>
  <si>
    <t xml:space="preserve"> Tin/Tungsten/Scheelite  Mixed, volume</t>
  </si>
  <si>
    <t xml:space="preserve"> Tin/Tungsten/Scheelite  Mixed, value</t>
  </si>
  <si>
    <t xml:space="preserve"> Gold, volume</t>
  </si>
  <si>
    <t>ToZ</t>
  </si>
  <si>
    <t xml:space="preserve"> Gold, value</t>
  </si>
  <si>
    <t xml:space="preserve"> Coal, volume</t>
  </si>
  <si>
    <t xml:space="preserve"> Coal, value</t>
  </si>
  <si>
    <t xml:space="preserve"> Limestone, volume</t>
  </si>
  <si>
    <t xml:space="preserve"> Limestone, value</t>
  </si>
  <si>
    <t xml:space="preserve"> Maganesedioxide, volume</t>
  </si>
  <si>
    <t xml:space="preserve"> Maganesedioxide, value</t>
  </si>
  <si>
    <t xml:space="preserve"> Marble, volume</t>
  </si>
  <si>
    <t xml:space="preserve"> Marble, value</t>
  </si>
  <si>
    <t xml:space="preserve"> Granite, volume</t>
  </si>
  <si>
    <t xml:space="preserve"> Granite, value</t>
  </si>
  <si>
    <t xml:space="preserve"> Gypsum, volume</t>
  </si>
  <si>
    <t xml:space="preserve"> Gypsum, value</t>
  </si>
  <si>
    <t xml:space="preserve"> Bauxite, volume</t>
  </si>
  <si>
    <t xml:space="preserve"> Bauxite, value</t>
  </si>
  <si>
    <t xml:space="preserve"> Limestone(decorative), volume</t>
  </si>
  <si>
    <t xml:space="preserve"> Limestone(decorative), value</t>
  </si>
  <si>
    <t xml:space="preserve"> Barite, volume</t>
  </si>
  <si>
    <t xml:space="preserve"> Barite, value</t>
  </si>
  <si>
    <t xml:space="preserve"> White Clay, volume</t>
  </si>
  <si>
    <t xml:space="preserve"> White Clay, value</t>
  </si>
  <si>
    <t xml:space="preserve"> Barite Powder, volume</t>
  </si>
  <si>
    <t xml:space="preserve"> Barite Powder, value</t>
  </si>
  <si>
    <t xml:space="preserve"> Clay, volume</t>
  </si>
  <si>
    <t xml:space="preserve"> Clay, value</t>
  </si>
  <si>
    <t xml:space="preserve"> Ferro Nickel, volume</t>
  </si>
  <si>
    <t xml:space="preserve"> Ferro Nickel, value</t>
  </si>
  <si>
    <t xml:space="preserve"> Dolomite, volume</t>
  </si>
  <si>
    <t>Quartz, volume</t>
  </si>
  <si>
    <t>Quartz, value</t>
  </si>
  <si>
    <t xml:space="preserve"> Dolomite, value</t>
  </si>
  <si>
    <t>Bantonite, volume</t>
  </si>
  <si>
    <t>Bantonite, value</t>
  </si>
  <si>
    <t>Zinc Ore, volume</t>
  </si>
  <si>
    <t>Zinc Ore, value</t>
  </si>
  <si>
    <t>Tin Concentrate, volume</t>
  </si>
  <si>
    <t>Tin Concentrate, value</t>
  </si>
  <si>
    <t>Tin&amp;TungstenMixedConcentrate, volume</t>
  </si>
  <si>
    <t>Tin&amp;TungstenMixedConcentrate, value</t>
  </si>
  <si>
    <t>Ferro Nickel, volume</t>
  </si>
  <si>
    <t>Ferro Nickel, value</t>
  </si>
  <si>
    <t>Section 3.4.1. Budget process</t>
  </si>
  <si>
    <t>Detail of licenses is disclosed in EITI report</t>
  </si>
  <si>
    <t>Moore Stephens LLP | P a g e 140
Appendix 10: Detail of Licenses</t>
  </si>
  <si>
    <t>All detail about awarding procedures are presented in the MEITI report</t>
  </si>
  <si>
    <t xml:space="preserve">Section 3.2.6. Procedures for the award of Oil &amp; Gas blocks 
Section 3.3.14 Award procedures for mineral concessions and licenses 
Appendix 11: Award Process
</t>
  </si>
  <si>
    <t xml:space="preserve">Section 3.2.9. Policy on disclosure of contracts and licenses 
Section 3.3.14. Award procedures for mineral concessions and licenses </t>
  </si>
  <si>
    <t>Section 6.4. Revenues from the sale of the State’s production share</t>
  </si>
  <si>
    <t>Condensate</t>
  </si>
  <si>
    <t>Refined Tin</t>
  </si>
  <si>
    <t>Section 6.9. Infrastructure provisions and barter arrangements</t>
  </si>
  <si>
    <t>Section 6.6. Social Expenditures and Infrastructure Provisions</t>
  </si>
  <si>
    <t>Section 1.1. 1.1. Revenue generated from the extractive sector</t>
  </si>
  <si>
    <t>MMK</t>
  </si>
  <si>
    <t>Petronas Carigali Hong Kong Ltd (PCML)</t>
  </si>
  <si>
    <t>TOTAL</t>
  </si>
  <si>
    <t>Daewoo International Corporation</t>
  </si>
  <si>
    <t>Goldpetrol Co Ltd</t>
  </si>
  <si>
    <t>Nippon Oil</t>
  </si>
  <si>
    <t>PTTEP International Ltd.</t>
  </si>
  <si>
    <t>Unocal Myanmar Offshore Co., Ltd</t>
  </si>
  <si>
    <t>Petronas Carigali Myanmar Inc (PCMI)</t>
  </si>
  <si>
    <t>PTTEP South Asia Ltd</t>
  </si>
  <si>
    <t>Ophir Myanmar Ltd</t>
  </si>
  <si>
    <t>Moattama Gas Transportation Company (MGTC)</t>
  </si>
  <si>
    <t>Taninthayi Pipeline Company (TPC)</t>
  </si>
  <si>
    <t>South-East Asia Gas Pipeline Co (SEAGP)</t>
  </si>
  <si>
    <t>Sein Lom Taung Tan Gems Ltd. (*)</t>
  </si>
  <si>
    <t>Yar Za Htar Ne Gems Co;Ltd. (*)</t>
  </si>
  <si>
    <t>Myanmar Imperial Jade(Gems &amp; Jewellery) (*)</t>
  </si>
  <si>
    <t>Wai Aung Gabar Gems Co; Ltd. (*)</t>
  </si>
  <si>
    <t>Ayar Jade Co; Ltd.</t>
  </si>
  <si>
    <t>Myat Yamon Gems Co;Ltd. (*)</t>
  </si>
  <si>
    <t>Linn Lett Win Yadanar Gems (*)</t>
  </si>
  <si>
    <t>Khin Zaw Aung &amp; Brothers Gems &amp; Jewellery (*)</t>
  </si>
  <si>
    <t>Great Genesis Gems Co; Ltd. (*)</t>
  </si>
  <si>
    <t>Richest Gems Co;Ltd. (*)</t>
  </si>
  <si>
    <t>Kyaing International Gems (*)</t>
  </si>
  <si>
    <t>Kachin National Development</t>
  </si>
  <si>
    <t>Myo Nwe Gems &amp; Jewellery</t>
  </si>
  <si>
    <t>Natural Gas/ Condensate</t>
  </si>
  <si>
    <t>Natural Gas</t>
  </si>
  <si>
    <t>Gas/Oil</t>
  </si>
  <si>
    <t>O&amp;G Transportation</t>
  </si>
  <si>
    <t>Gems and Jade</t>
  </si>
  <si>
    <t>Ferronickel</t>
  </si>
  <si>
    <t>Gypsum</t>
  </si>
  <si>
    <t>Lead /Zinc concentrate</t>
  </si>
  <si>
    <t>Antimony Ore</t>
  </si>
  <si>
    <t>Lime Stone</t>
  </si>
  <si>
    <t>Lime Stone / Coal</t>
  </si>
  <si>
    <t>Copper</t>
  </si>
  <si>
    <t>Tin &amp; Tungsten</t>
  </si>
  <si>
    <t xml:space="preserve">Lime Stone </t>
  </si>
  <si>
    <t>Antimony</t>
  </si>
  <si>
    <t>Tin/ Tungsten Mixed Ore</t>
  </si>
  <si>
    <t>Income Tax (IT)</t>
  </si>
  <si>
    <t>Royalties on Sales</t>
  </si>
  <si>
    <t>Commercial Tax</t>
  </si>
  <si>
    <t>Capital Gains Tax</t>
  </si>
  <si>
    <t>Stamp Duties</t>
  </si>
  <si>
    <t xml:space="preserve">Commercial Tax on Imports </t>
  </si>
  <si>
    <t>Customs Department</t>
  </si>
  <si>
    <t xml:space="preserve">Customs Duties on imports </t>
  </si>
  <si>
    <t>Royalties</t>
  </si>
  <si>
    <t>Production Bonus</t>
  </si>
  <si>
    <t>Signature bonus/Application fees</t>
  </si>
  <si>
    <t>Production Split</t>
  </si>
  <si>
    <t>MOGE share (Profit and Cost- G&amp;O sales)</t>
  </si>
  <si>
    <t>Dividend/Profit Sharing  on Oil &amp; Gas transportation</t>
  </si>
  <si>
    <t>Road right fee Oil &amp; Gas transportation (Right of way)</t>
  </si>
  <si>
    <t>Sale Split</t>
  </si>
  <si>
    <t>Revenues from the Sale of the State Share of Production</t>
  </si>
  <si>
    <t>Land fees/Dead rent fee</t>
  </si>
  <si>
    <t>Data fee</t>
  </si>
  <si>
    <t>Service  Fees</t>
  </si>
  <si>
    <t>Permit fees</t>
  </si>
  <si>
    <t>Incentive fees</t>
  </si>
  <si>
    <t>Emporium Fees / Sale Fees</t>
  </si>
  <si>
    <t>Central committee</t>
  </si>
  <si>
    <t>15E</t>
  </si>
  <si>
    <t xml:space="preserve">Revenues not classified </t>
  </si>
  <si>
    <t>Social payments</t>
  </si>
  <si>
    <t>Other significant payments (&gt; 50,000 USD)</t>
  </si>
  <si>
    <t>ONGC Videsh Ltd</t>
  </si>
  <si>
    <t>Geopetrol International Holding Inc</t>
  </si>
  <si>
    <t>Eni Myanmar BV</t>
  </si>
  <si>
    <t>Central Asia Oil and Gas (CAOG) Pte. Ltd</t>
  </si>
  <si>
    <t>Bashneft International B.V</t>
  </si>
  <si>
    <t>Brunei National Petroleum Co</t>
  </si>
  <si>
    <t>Oil India Ltd</t>
  </si>
  <si>
    <t>Barlanga Myanmar Pte. Ltd.</t>
  </si>
  <si>
    <t>Shell Myanmar Energy Pte.Ltd</t>
  </si>
  <si>
    <t>BG Exploration &amp; Production Myanmar Pte. Ltd.</t>
  </si>
  <si>
    <t>Woodside Energy (Myanmar ) Pte. Ltd.</t>
  </si>
  <si>
    <t>CFG Energy Pte.Ltd.</t>
  </si>
  <si>
    <t>Reliance Industries Ltd</t>
  </si>
  <si>
    <t>Tap Energy Pte. Ltd.</t>
  </si>
  <si>
    <t>Andaman Transportation Limited (ATL)</t>
  </si>
  <si>
    <t>Shwe Pyi Tha Gems Trading &amp; Faceting</t>
  </si>
  <si>
    <t xml:space="preserve">Yadanar Taung Tann Gems </t>
  </si>
  <si>
    <t>Khun Pa-Oh Gems &amp; Jewellery</t>
  </si>
  <si>
    <t>Kan Pwint Oo Gems &amp; Jewellery</t>
  </si>
  <si>
    <t xml:space="preserve">Green Comet Gems </t>
  </si>
  <si>
    <t>Thi Raw Mani Gems &amp; Jewellery (*)</t>
  </si>
  <si>
    <t>Myanma Seinn Lei Aung Gems</t>
  </si>
  <si>
    <t>Nay La Pwint Gems Co; Ltd. (*)</t>
  </si>
  <si>
    <t>Myanmar Win Gate Gems &amp; Jewellery Mining</t>
  </si>
  <si>
    <t>Khaing Lon Gems Co;Ltd.</t>
  </si>
  <si>
    <t xml:space="preserve">Chaow Brothers Gemstone </t>
  </si>
  <si>
    <t>Kyay Lin</t>
  </si>
  <si>
    <t>Jade Mountain Gems Co;Ltd. (*)</t>
  </si>
  <si>
    <t>Phyo Thiha Kyaw Gems</t>
  </si>
  <si>
    <t xml:space="preserve">Silver Elephant Gems </t>
  </si>
  <si>
    <t>Yadanar Yaung Chi Gems Co;Ltd. (*)</t>
  </si>
  <si>
    <t>Myanmar Sithu Jewellery (*)</t>
  </si>
  <si>
    <t>Pang Huke Duwa Co; Ltd.</t>
  </si>
  <si>
    <t>Kyay Sin Phyu</t>
  </si>
  <si>
    <t>SEIN THURA SAN GEMS COMPANY</t>
  </si>
  <si>
    <t>Lucky Star</t>
  </si>
  <si>
    <t>San Taw Win Gems &amp; Jewellery</t>
  </si>
  <si>
    <t>Yadanar Kaung Kin Gems &amp;JewelleryCo;Ltd</t>
  </si>
  <si>
    <t>Yadanar San Shwin Gems Co., Ltd</t>
  </si>
  <si>
    <t>Golden Wallet Jewellery Co.,Ltd</t>
  </si>
  <si>
    <t>SHWE BYAIN PHYU CO</t>
  </si>
  <si>
    <t>NILAR YOMA TRADING</t>
  </si>
  <si>
    <t>Ayar Yadanar</t>
  </si>
  <si>
    <t>Kaung Myat Thukha</t>
  </si>
  <si>
    <t>Unity Gems Co;Ltd.</t>
  </si>
  <si>
    <t>Thiha &amp; Three Brothers Gems &amp; Jewellery</t>
  </si>
  <si>
    <t>Emerald Garden</t>
  </si>
  <si>
    <t>Shwe Gaung Gaung Gems</t>
  </si>
  <si>
    <t>Green Light Treasure 
Co.,Ltd</t>
  </si>
  <si>
    <t>Xie Family Co.,Ltd (*)</t>
  </si>
  <si>
    <t>Myanmar CNMC Nickel Co; LTD (*)</t>
  </si>
  <si>
    <t>Ruby Dragon Mining Co., Ltd.</t>
  </si>
  <si>
    <t>Thein Than Mining Co.,Ltd.</t>
  </si>
  <si>
    <t>Shwe Sapar Mining Co.,Ltd.</t>
  </si>
  <si>
    <t>Cornerstone Resources Myanmar Co.</t>
  </si>
  <si>
    <t>Myanmar Golden High Land Mining Co.,Ltd.</t>
  </si>
  <si>
    <t>Win Myint Mo Industries Co.,Ltd. (*)</t>
  </si>
  <si>
    <t>Ngwe Yi Pale Mining Co., Ltd (*)</t>
  </si>
  <si>
    <t>Shwe Taung Mining Co., Ltd.</t>
  </si>
  <si>
    <t>Tha Byu Mining Co.,Ltd (*)</t>
  </si>
  <si>
    <t>Myanmar Golden Point Family Co.,Ltd</t>
  </si>
  <si>
    <t>Myanmar Economic Corporation</t>
  </si>
  <si>
    <t>Max Myanmar Co., Group. (*)</t>
  </si>
  <si>
    <t>Than Taw Myat</t>
  </si>
  <si>
    <t>Myanmar Yang Tse Copper Ltd (*)</t>
  </si>
  <si>
    <t>Swan Min Htet Mining Co;Ltd</t>
  </si>
  <si>
    <t>Sea Sun Mining Production &amp; Marketing Co.,Ltd</t>
  </si>
  <si>
    <t>Eastern Mining Co.,Ltd</t>
  </si>
  <si>
    <t>National Prosperity Gold Production Group Ltd.</t>
  </si>
  <si>
    <t>Shwe Moe YanCo., Ltd.</t>
  </si>
  <si>
    <t>Eternal Mining Co., Ltd (*)</t>
  </si>
  <si>
    <t>Geo Asia Industrial and Mining Co., Ltd.</t>
  </si>
  <si>
    <t>Myanmar Pongpipat Co.,L td (*)</t>
  </si>
  <si>
    <t>Kayar Mine Production  Co., Ltd</t>
  </si>
  <si>
    <t>Ye Htut Kyaw Mining Co.,Ltd</t>
  </si>
  <si>
    <t>A&amp;A, Natural Resources Development Co,Lt d</t>
  </si>
  <si>
    <t>Lead Zinc</t>
  </si>
  <si>
    <t>Antimony Mineral</t>
  </si>
  <si>
    <t>Zinc</t>
  </si>
  <si>
    <t>Lead Ore</t>
  </si>
  <si>
    <t>Tin/ Tungsten mixed Ore</t>
  </si>
  <si>
    <t>Tin/Tungsten Sheelite/ Mixed</t>
  </si>
  <si>
    <t>Licence/application Fees</t>
  </si>
  <si>
    <t>Shining Star Light Gems &amp; Jewellery (*)</t>
  </si>
  <si>
    <t>Internal Revenue Department (IRD)</t>
  </si>
  <si>
    <t>Myanma Oil &amp; Gas Enterprise (MOGE)</t>
  </si>
  <si>
    <t>Myanmar Gems Enterprise(MGE)</t>
  </si>
  <si>
    <t>Myanma Oil &amp; Gas Enterprise (MOGE)/Mining Enterprise (ME)</t>
  </si>
  <si>
    <t>Myanmar Gems Enterprise(MGE)/Mining Enterprise (ME)</t>
  </si>
  <si>
    <t>Myanma Oil &amp; Gas Enterprise (MOGE)/Mining Enterprise (ME)/DoM/Myanmar Petrochemical Enterprise(MPE)</t>
  </si>
  <si>
    <t>Mining Enterprise (ME)/Myanmar Petrochemical Enterprise(MPE)</t>
  </si>
  <si>
    <t>Myanma Oil &amp; Gas Enterprise (MOGE)/Myanmar Gems Enterprise(MGE)/Mining Enterprise (ME)</t>
  </si>
  <si>
    <t>Myanma Oil &amp; Gas Enterprise (MOGE)/Forestry Department (FD)/Mining Enterprise (ME)/Department of Geological Service and Mineral Exploration (DGSE)</t>
  </si>
  <si>
    <t>Internal Revenue Department (IRD)/Myanmar Gems Enterprise(MGE)</t>
  </si>
  <si>
    <t>Total revenues ( MEITI Report)</t>
  </si>
  <si>
    <t>Withholding taxes</t>
  </si>
  <si>
    <t>Total revenues ( excluding WHT and Social payments)</t>
  </si>
  <si>
    <t>Karim Lourimi/Elyes Kooli</t>
  </si>
  <si>
    <t>Moore Stephens</t>
  </si>
  <si>
    <t>Karim.lourimi@moorestephens.com/elyes.kooli@moorestephens.com</t>
  </si>
  <si>
    <t>Sm3</t>
  </si>
  <si>
    <t>Partially</t>
  </si>
  <si>
    <t>https://opendevelopmentmyanmar.net/topics/extractive-industries/#T2lsIGFuZCBHYXM</t>
  </si>
  <si>
    <t>https://www.mopf.gov.mm/en/content/budget-news</t>
  </si>
  <si>
    <t>Included partially reconciled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</si>
</sst>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yyyy\-mm\-dd;@"/>
    <numFmt numFmtId="165" formatCode="_-* #,##0_-;\-* #,##0_-;_-* &quot;-&quot;??_-;_-@_-"/>
    <numFmt numFmtId="166" formatCode="_-* #,##0_-;[Red]\-* #,##0_-;_-* &quot;-&quot;??_-;_-@_-"/>
    <numFmt numFmtId="167" formatCode="#,##0_);\(&quot;&quot;#,##0\);_-* &quot;-&quot;??_-;_-@_-"/>
  </numFmts>
  <fonts count="42">
    <font>
      <sz val="12"/>
      <color theme="1"/>
      <name val="Calibri"/>
      <family val="2"/>
      <scheme val="minor"/>
    </font>
    <font>
      <sz val="12"/>
      <color theme="1"/>
      <name val="Calibri"/>
      <family val="2"/>
      <scheme val="minor"/>
    </font>
    <font>
      <sz val="12"/>
      <color theme="1"/>
      <name val="Calibri"/>
      <family val="2"/>
    </font>
    <font>
      <b/>
      <sz val="12"/>
      <color theme="1"/>
      <name val="Calibri"/>
      <family val="2"/>
    </font>
    <font>
      <i/>
      <sz val="12"/>
      <color theme="1"/>
      <name val="Calibri"/>
      <family val="2"/>
    </font>
    <font>
      <u/>
      <sz val="12"/>
      <color theme="10"/>
      <name val="Calibri"/>
      <family val="2"/>
      <scheme val="minor"/>
    </font>
    <font>
      <u/>
      <sz val="12"/>
      <color theme="11"/>
      <name val="Calibri"/>
      <family val="2"/>
      <scheme val="minor"/>
    </font>
    <font>
      <sz val="12"/>
      <color rgb="FF3F3F76"/>
      <name val="Calibri"/>
      <family val="2"/>
      <scheme val="minor"/>
    </font>
    <font>
      <sz val="8"/>
      <name val="Calibri"/>
      <family val="2"/>
      <scheme val="minor"/>
    </font>
    <font>
      <b/>
      <sz val="16"/>
      <color theme="1"/>
      <name val="Calibri"/>
      <family val="2"/>
    </font>
    <font>
      <i/>
      <sz val="12"/>
      <color theme="1"/>
      <name val="Calibri"/>
      <family val="2"/>
      <scheme val="minor"/>
    </font>
    <font>
      <sz val="10"/>
      <color theme="1"/>
      <name val="Calibri"/>
      <family val="2"/>
      <scheme val="minor"/>
    </font>
    <font>
      <sz val="20"/>
      <color theme="1"/>
      <name val="Calibri"/>
      <family val="2"/>
      <scheme val="minor"/>
    </font>
    <font>
      <b/>
      <sz val="10"/>
      <color theme="1"/>
      <name val="Calibri"/>
      <family val="2"/>
      <scheme val="minor"/>
    </font>
    <font>
      <i/>
      <sz val="10"/>
      <color theme="1"/>
      <name val="Calibri"/>
      <family val="2"/>
      <scheme val="minor"/>
    </font>
    <font>
      <sz val="10"/>
      <color rgb="FF000000"/>
      <name val="Calibri"/>
      <family val="2"/>
      <scheme val="minor"/>
    </font>
    <font>
      <sz val="10"/>
      <color rgb="FFFF0000"/>
      <name val="Calibri"/>
      <family val="2"/>
      <scheme val="minor"/>
    </font>
    <font>
      <sz val="20"/>
      <color theme="1"/>
      <name val="Calibri"/>
      <family val="2"/>
    </font>
    <font>
      <sz val="10"/>
      <color rgb="FFFF0000"/>
      <name val="Calibri (Body)"/>
    </font>
    <font>
      <b/>
      <sz val="16"/>
      <color rgb="FF000000"/>
      <name val="Calibri (Body)"/>
    </font>
    <font>
      <i/>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2"/>
      <color rgb="FF000000"/>
      <name val="Calibri"/>
      <family val="2"/>
      <scheme val="minor"/>
    </font>
    <font>
      <b/>
      <sz val="12"/>
      <color theme="0" tint="-0.34998626667073579"/>
      <name val="Calibri"/>
      <family val="2"/>
    </font>
    <font>
      <i/>
      <sz val="12"/>
      <color theme="0" tint="-0.34998626667073579"/>
      <name val="Calibri"/>
      <family val="2"/>
    </font>
    <font>
      <sz val="12"/>
      <name val="Calibri"/>
      <family val="2"/>
      <scheme val="minor"/>
    </font>
    <font>
      <i/>
      <sz val="10"/>
      <color theme="1"/>
      <name val="Calibri"/>
      <family val="2"/>
    </font>
    <font>
      <i/>
      <sz val="10"/>
      <name val="Calibri"/>
      <family val="2"/>
    </font>
    <font>
      <b/>
      <sz val="11"/>
      <color rgb="FF3F3F3F"/>
      <name val="Calibri"/>
      <family val="2"/>
      <scheme val="minor"/>
    </font>
    <font>
      <b/>
      <sz val="16"/>
      <color theme="1"/>
      <name val="Calibri"/>
      <family val="2"/>
    </font>
    <font>
      <b/>
      <i/>
      <sz val="10"/>
      <color rgb="FF3F3F3F"/>
      <name val="Calibri"/>
      <family val="2"/>
      <scheme val="minor"/>
    </font>
    <font>
      <u/>
      <sz val="10"/>
      <color rgb="FFFF0000"/>
      <name val="Calibri"/>
      <family val="2"/>
      <scheme val="minor"/>
    </font>
    <font>
      <i/>
      <sz val="10"/>
      <name val="Calibri"/>
      <family val="2"/>
      <scheme val="minor"/>
    </font>
    <font>
      <sz val="10"/>
      <color rgb="FFFF0000"/>
      <name val="Calibri"/>
      <family val="2"/>
      <scheme val="minor"/>
    </font>
    <font>
      <b/>
      <sz val="11"/>
      <color rgb="FF000000"/>
      <name val="Calibri"/>
      <family val="2"/>
      <scheme val="minor"/>
    </font>
    <font>
      <b/>
      <sz val="12"/>
      <color theme="1"/>
      <name val="Calibri"/>
      <family val="2"/>
      <scheme val="minor"/>
    </font>
    <font>
      <b/>
      <i/>
      <sz val="10"/>
      <color theme="1"/>
      <name val="Calibri"/>
      <family val="2"/>
      <scheme val="minor"/>
    </font>
    <font>
      <i/>
      <sz val="12"/>
      <color rgb="FFA6A6A6"/>
      <name val="Calibri"/>
      <family val="2"/>
    </font>
    <font>
      <sz val="10"/>
      <color theme="1"/>
      <name val="Arial"/>
      <family val="2"/>
    </font>
    <font>
      <sz val="8"/>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rgb="FFFFCC99"/>
      </patternFill>
    </fill>
    <fill>
      <patternFill patternType="solid">
        <fgColor theme="9" tint="0.39997558519241921"/>
        <bgColor indexed="64"/>
      </patternFill>
    </fill>
    <fill>
      <patternFill patternType="solid">
        <fgColor rgb="FFF7FAB4"/>
        <bgColor indexed="64"/>
      </patternFill>
    </fill>
    <fill>
      <patternFill patternType="solid">
        <fgColor theme="0"/>
        <bgColor indexed="64"/>
      </patternFill>
    </fill>
    <fill>
      <patternFill patternType="solid">
        <fgColor rgb="FFFABF8F"/>
        <bgColor rgb="FF000000"/>
      </patternFill>
    </fill>
    <fill>
      <patternFill patternType="solid">
        <fgColor rgb="FFF7FAB4"/>
        <bgColor rgb="FF000000"/>
      </patternFill>
    </fill>
    <fill>
      <patternFill patternType="solid">
        <fgColor theme="0"/>
        <bgColor rgb="FF000000"/>
      </patternFill>
    </fill>
    <fill>
      <patternFill patternType="solid">
        <fgColor rgb="FFFABF8F"/>
        <bgColor indexed="64"/>
      </patternFill>
    </fill>
    <fill>
      <patternFill patternType="solid">
        <fgColor theme="1"/>
        <bgColor indexed="64"/>
      </patternFill>
    </fill>
    <fill>
      <patternFill patternType="solid">
        <fgColor rgb="FFFFCC99"/>
        <bgColor rgb="FF000000"/>
      </patternFill>
    </fill>
    <fill>
      <patternFill patternType="solid">
        <fgColor theme="2"/>
        <bgColor indexed="64"/>
      </patternFill>
    </fill>
    <fill>
      <patternFill patternType="solid">
        <fgColor rgb="FFF2F2F2"/>
      </patternFill>
    </fill>
    <fill>
      <patternFill patternType="solid">
        <fgColor rgb="FFF2F2F2"/>
        <bgColor indexed="64"/>
      </patternFill>
    </fill>
  </fills>
  <borders count="36">
    <border>
      <left/>
      <right/>
      <top/>
      <bottom/>
      <diagonal/>
    </border>
    <border>
      <left style="thin">
        <color auto="1"/>
      </left>
      <right/>
      <top/>
      <bottom style="thin">
        <color rgb="FF000000"/>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auto="1"/>
      </right>
      <top style="thin">
        <color rgb="FF7F7F7F"/>
      </top>
      <bottom style="thin">
        <color rgb="FF7F7F7F"/>
      </bottom>
      <diagonal/>
    </border>
    <border>
      <left/>
      <right style="thin">
        <color auto="1"/>
      </right>
      <top/>
      <bottom style="thin">
        <color rgb="FF000000"/>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
      <left style="medium">
        <color rgb="FFFF0000"/>
      </left>
      <right style="medium">
        <color rgb="FFFF0000"/>
      </right>
      <top style="medium">
        <color rgb="FFFF0000"/>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medium">
        <color indexed="64"/>
      </left>
      <right style="medium">
        <color indexed="64"/>
      </right>
      <top style="thin">
        <color auto="1"/>
      </top>
      <bottom style="thin">
        <color auto="1"/>
      </bottom>
      <diagonal/>
    </border>
    <border>
      <left style="thin">
        <color indexed="64"/>
      </left>
      <right style="thin">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bottom style="thick">
        <color auto="1"/>
      </bottom>
      <diagonal/>
    </border>
  </borders>
  <cellStyleXfs count="332">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7" fillId="3" borderId="6"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0" fillId="14" borderId="19"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0" fillId="0" borderId="0"/>
  </cellStyleXfs>
  <cellXfs count="245">
    <xf numFmtId="0" fontId="0" fillId="0" borderId="0" xfId="0"/>
    <xf numFmtId="0" fontId="2" fillId="0" borderId="0" xfId="0" applyFont="1" applyBorder="1" applyAlignment="1">
      <alignment vertical="center" wrapText="1"/>
    </xf>
    <xf numFmtId="0" fontId="2" fillId="0" borderId="8" xfId="0" applyFont="1" applyBorder="1" applyAlignment="1">
      <alignment vertical="center" wrapText="1"/>
    </xf>
    <xf numFmtId="0" fontId="4" fillId="0" borderId="8" xfId="0" applyFont="1" applyBorder="1" applyAlignment="1">
      <alignment vertical="center" wrapText="1"/>
    </xf>
    <xf numFmtId="0" fontId="2" fillId="0" borderId="13" xfId="0" applyFont="1" applyBorder="1" applyAlignment="1">
      <alignment vertical="center" wrapText="1"/>
    </xf>
    <xf numFmtId="0" fontId="2" fillId="0" borderId="2" xfId="0" applyFont="1" applyBorder="1" applyAlignment="1">
      <alignment vertical="center" wrapText="1"/>
    </xf>
    <xf numFmtId="0" fontId="11" fillId="0" borderId="0" xfId="0" applyFont="1" applyAlignment="1">
      <alignment horizontal="left" vertical="center" wrapText="1"/>
    </xf>
    <xf numFmtId="0" fontId="16" fillId="0" borderId="0" xfId="0" applyFont="1" applyAlignment="1">
      <alignment horizontal="left" vertical="center" wrapText="1"/>
    </xf>
    <xf numFmtId="0" fontId="11" fillId="0" borderId="0" xfId="0" applyFont="1" applyAlignment="1">
      <alignment horizontal="left" vertical="center"/>
    </xf>
    <xf numFmtId="0" fontId="21" fillId="0" borderId="0" xfId="0" applyFont="1" applyAlignment="1">
      <alignment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7" fillId="3" borderId="12" xfId="27"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3" fontId="4" fillId="0" borderId="8" xfId="0" applyNumberFormat="1" applyFont="1" applyBorder="1" applyAlignment="1">
      <alignment vertical="center" wrapText="1"/>
    </xf>
    <xf numFmtId="0" fontId="2" fillId="0" borderId="2" xfId="0" applyFont="1" applyFill="1" applyBorder="1" applyAlignment="1">
      <alignment vertical="center" wrapText="1"/>
    </xf>
    <xf numFmtId="0" fontId="3" fillId="0" borderId="2" xfId="0" applyFont="1" applyFill="1" applyBorder="1" applyAlignment="1">
      <alignment vertical="center" wrapText="1"/>
    </xf>
    <xf numFmtId="0" fontId="2" fillId="0" borderId="1" xfId="0" applyFont="1" applyFill="1" applyBorder="1" applyAlignment="1">
      <alignment vertical="center" wrapText="1"/>
    </xf>
    <xf numFmtId="0" fontId="7" fillId="12" borderId="12" xfId="0" applyFont="1" applyFill="1" applyBorder="1" applyAlignment="1">
      <alignment vertical="center" wrapText="1"/>
    </xf>
    <xf numFmtId="0" fontId="3" fillId="0" borderId="1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3" fontId="2" fillId="0" borderId="8" xfId="245" applyNumberFormat="1" applyFont="1" applyFill="1" applyBorder="1" applyAlignment="1">
      <alignment vertical="center" wrapText="1"/>
    </xf>
    <xf numFmtId="3" fontId="2" fillId="0" borderId="8" xfId="245" applyNumberFormat="1" applyFont="1" applyBorder="1" applyAlignment="1">
      <alignment vertical="center" wrapText="1"/>
    </xf>
    <xf numFmtId="3" fontId="3" fillId="0" borderId="8" xfId="245" applyNumberFormat="1" applyFont="1" applyFill="1" applyBorder="1" applyAlignment="1">
      <alignment vertical="center" wrapText="1"/>
    </xf>
    <xf numFmtId="3" fontId="2" fillId="0" borderId="11" xfId="245" applyNumberFormat="1" applyFont="1" applyFill="1" applyBorder="1" applyAlignment="1">
      <alignment vertical="center" wrapText="1"/>
    </xf>
    <xf numFmtId="3" fontId="2" fillId="0" borderId="0" xfId="245" applyNumberFormat="1" applyFont="1" applyFill="1" applyBorder="1" applyAlignment="1">
      <alignment vertical="center" wrapText="1"/>
    </xf>
    <xf numFmtId="15" fontId="11" fillId="0" borderId="0" xfId="0" applyNumberFormat="1" applyFont="1" applyAlignment="1">
      <alignment horizontal="left" vertical="center" wrapText="1"/>
    </xf>
    <xf numFmtId="0" fontId="11" fillId="0" borderId="0" xfId="0" applyFont="1" applyAlignment="1">
      <alignment vertical="center" wrapText="1"/>
    </xf>
    <xf numFmtId="0" fontId="12" fillId="0" borderId="0" xfId="0" applyFont="1" applyAlignment="1"/>
    <xf numFmtId="0" fontId="18" fillId="0" borderId="0" xfId="0" applyFont="1" applyAlignment="1"/>
    <xf numFmtId="0" fontId="11" fillId="0" borderId="0" xfId="0" applyFont="1" applyAlignment="1">
      <alignment wrapText="1"/>
    </xf>
    <xf numFmtId="15" fontId="11" fillId="0" borderId="0" xfId="0" applyNumberFormat="1" applyFont="1" applyBorder="1" applyAlignment="1">
      <alignment horizontal="left"/>
    </xf>
    <xf numFmtId="0" fontId="11" fillId="0" borderId="0" xfId="0" applyFont="1" applyBorder="1" applyAlignment="1">
      <alignment horizontal="left"/>
    </xf>
    <xf numFmtId="0" fontId="11" fillId="0" borderId="0" xfId="0" quotePrefix="1" applyFont="1" applyAlignment="1">
      <alignment horizontal="left" vertical="center" wrapText="1"/>
    </xf>
    <xf numFmtId="0" fontId="13" fillId="0" borderId="0" xfId="0" applyFont="1" applyAlignment="1">
      <alignment horizontal="left" vertical="center" wrapText="1"/>
    </xf>
    <xf numFmtId="0" fontId="13" fillId="6" borderId="0" xfId="0" applyFont="1" applyFill="1" applyBorder="1" applyAlignment="1">
      <alignment horizontal="left"/>
    </xf>
    <xf numFmtId="0" fontId="32" fillId="14" borderId="20" xfId="320" applyFont="1" applyBorder="1" applyAlignment="1">
      <alignment horizontal="left" vertical="center" wrapText="1"/>
    </xf>
    <xf numFmtId="0" fontId="5" fillId="0" borderId="0" xfId="128" applyAlignment="1"/>
    <xf numFmtId="0" fontId="11" fillId="0" borderId="0" xfId="0" quotePrefix="1" applyFont="1" applyBorder="1" applyAlignment="1">
      <alignment horizontal="left" vertical="center" wrapText="1"/>
    </xf>
    <xf numFmtId="0" fontId="11" fillId="0" borderId="0" xfId="0" applyFont="1" applyBorder="1" applyAlignment="1">
      <alignment horizontal="left" vertical="center" wrapText="1"/>
    </xf>
    <xf numFmtId="0" fontId="11" fillId="0" borderId="21" xfId="0" applyFont="1" applyBorder="1" applyAlignment="1">
      <alignment vertical="center" wrapText="1"/>
    </xf>
    <xf numFmtId="0" fontId="35" fillId="0" borderId="0" xfId="0" applyFont="1" applyAlignment="1">
      <alignment vertical="center" wrapText="1"/>
    </xf>
    <xf numFmtId="0" fontId="11" fillId="0" borderId="0" xfId="0" applyFont="1" applyAlignment="1">
      <alignment horizontal="left" vertical="center" wrapText="1"/>
    </xf>
    <xf numFmtId="0" fontId="12" fillId="0" borderId="0" xfId="0" applyFont="1" applyAlignment="1">
      <alignment vertical="center"/>
    </xf>
    <xf numFmtId="0" fontId="18" fillId="0" borderId="0" xfId="0" applyFont="1" applyAlignment="1">
      <alignment vertical="center"/>
    </xf>
    <xf numFmtId="0" fontId="11" fillId="0" borderId="14" xfId="0" applyFont="1" applyBorder="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1" fillId="0" borderId="1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3" fillId="6" borderId="0" xfId="0" applyFont="1" applyFill="1" applyBorder="1" applyAlignment="1">
      <alignment horizontal="left" vertical="center" wrapText="1"/>
    </xf>
    <xf numFmtId="0" fontId="33" fillId="0" borderId="0" xfId="128" applyFont="1" applyAlignment="1">
      <alignment vertical="center"/>
    </xf>
    <xf numFmtId="164" fontId="11" fillId="4" borderId="24" xfId="0" applyNumberFormat="1" applyFont="1" applyFill="1" applyBorder="1" applyAlignment="1">
      <alignment horizontal="left" vertical="center" wrapText="1"/>
    </xf>
    <xf numFmtId="0" fontId="34" fillId="0" borderId="0" xfId="0" applyFont="1" applyBorder="1" applyAlignment="1">
      <alignment vertical="center"/>
    </xf>
    <xf numFmtId="164" fontId="11" fillId="4" borderId="26" xfId="0" applyNumberFormat="1" applyFont="1" applyFill="1" applyBorder="1" applyAlignment="1">
      <alignment horizontal="left" vertical="center" wrapText="1"/>
    </xf>
    <xf numFmtId="0" fontId="11" fillId="0" borderId="14" xfId="0" applyFont="1" applyBorder="1" applyAlignment="1">
      <alignment vertical="center" wrapText="1"/>
    </xf>
    <xf numFmtId="0" fontId="35" fillId="0" borderId="0" xfId="0" applyFont="1" applyBorder="1" applyAlignment="1">
      <alignment vertical="center"/>
    </xf>
    <xf numFmtId="0" fontId="14" fillId="0" borderId="14" xfId="0" applyFont="1" applyBorder="1" applyAlignment="1">
      <alignment vertical="center"/>
    </xf>
    <xf numFmtId="164" fontId="11" fillId="11" borderId="26" xfId="0" applyNumberFormat="1" applyFont="1" applyFill="1" applyBorder="1" applyAlignment="1">
      <alignment horizontal="left" vertical="center" wrapText="1"/>
    </xf>
    <xf numFmtId="0" fontId="15" fillId="0" borderId="4" xfId="0" applyFont="1" applyBorder="1" applyAlignment="1">
      <alignment vertical="center"/>
    </xf>
    <xf numFmtId="0" fontId="15" fillId="0" borderId="14" xfId="0" applyFont="1" applyBorder="1" applyAlignment="1">
      <alignment vertical="center"/>
    </xf>
    <xf numFmtId="0" fontId="15" fillId="0" borderId="0" xfId="0" applyFont="1" applyAlignment="1">
      <alignment vertical="center"/>
    </xf>
    <xf numFmtId="0" fontId="14" fillId="0" borderId="10" xfId="0" applyFont="1" applyBorder="1" applyAlignment="1">
      <alignment vertical="center"/>
    </xf>
    <xf numFmtId="0" fontId="15" fillId="0" borderId="0" xfId="0" applyFont="1" applyBorder="1" applyAlignment="1">
      <alignment vertical="center"/>
    </xf>
    <xf numFmtId="0" fontId="11" fillId="6" borderId="0" xfId="0" applyFont="1" applyFill="1" applyBorder="1" applyAlignment="1">
      <alignment horizontal="left" vertical="center" wrapText="1"/>
    </xf>
    <xf numFmtId="0" fontId="34" fillId="0" borderId="10" xfId="0" applyFont="1" applyBorder="1" applyAlignment="1">
      <alignment vertical="center"/>
    </xf>
    <xf numFmtId="0" fontId="2" fillId="0" borderId="0" xfId="0" applyFont="1" applyAlignment="1">
      <alignment vertical="center"/>
    </xf>
    <xf numFmtId="0" fontId="17" fillId="0" borderId="0" xfId="0" applyFont="1" applyAlignment="1">
      <alignment vertical="center"/>
    </xf>
    <xf numFmtId="0" fontId="9" fillId="0" borderId="17" xfId="0" applyFont="1" applyBorder="1" applyAlignment="1">
      <alignment vertical="center"/>
    </xf>
    <xf numFmtId="0" fontId="9" fillId="0" borderId="3" xfId="0" applyFont="1" applyBorder="1" applyAlignment="1">
      <alignment vertical="center"/>
    </xf>
    <xf numFmtId="0" fontId="4" fillId="0" borderId="4" xfId="0" applyFont="1" applyBorder="1" applyAlignment="1">
      <alignment vertical="center"/>
    </xf>
    <xf numFmtId="0" fontId="2" fillId="0" borderId="4" xfId="0" applyFont="1" applyBorder="1" applyAlignment="1">
      <alignment vertical="center"/>
    </xf>
    <xf numFmtId="0" fontId="2" fillId="0" borderId="7" xfId="0" applyFont="1" applyBorder="1" applyAlignment="1">
      <alignment vertical="center"/>
    </xf>
    <xf numFmtId="0" fontId="29" fillId="0" borderId="0" xfId="0" applyFont="1" applyAlignment="1">
      <alignment vertical="center"/>
    </xf>
    <xf numFmtId="0" fontId="2" fillId="0" borderId="18" xfId="0" applyFont="1" applyBorder="1" applyAlignment="1">
      <alignment vertical="center"/>
    </xf>
    <xf numFmtId="0" fontId="4" fillId="0" borderId="2"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8" fillId="0" borderId="0" xfId="0" applyFont="1" applyAlignment="1">
      <alignment vertical="center"/>
    </xf>
    <xf numFmtId="0" fontId="3" fillId="0" borderId="2" xfId="0" applyFont="1" applyBorder="1" applyAlignment="1">
      <alignment horizontal="right" vertical="center" wrapText="1"/>
    </xf>
    <xf numFmtId="0" fontId="0" fillId="10" borderId="0" xfId="0" applyFill="1" applyBorder="1" applyAlignment="1">
      <alignment vertical="center" wrapText="1"/>
    </xf>
    <xf numFmtId="0" fontId="0" fillId="10" borderId="8" xfId="0" applyFill="1" applyBorder="1" applyAlignment="1">
      <alignment vertical="center" wrapText="1"/>
    </xf>
    <xf numFmtId="0" fontId="3" fillId="0" borderId="2" xfId="0" applyFont="1" applyBorder="1" applyAlignment="1">
      <alignment horizontal="right" vertical="center"/>
    </xf>
    <xf numFmtId="0" fontId="2" fillId="10" borderId="0" xfId="0" applyFont="1" applyFill="1" applyBorder="1" applyAlignment="1">
      <alignment vertical="center"/>
    </xf>
    <xf numFmtId="0" fontId="24" fillId="10" borderId="0" xfId="0" applyFont="1" applyFill="1" applyAlignment="1">
      <alignment vertical="center"/>
    </xf>
    <xf numFmtId="0" fontId="24" fillId="10" borderId="0" xfId="0" applyFont="1" applyFill="1" applyBorder="1" applyAlignment="1">
      <alignment vertical="center"/>
    </xf>
    <xf numFmtId="0" fontId="24" fillId="10" borderId="8" xfId="0" applyFont="1" applyFill="1" applyBorder="1" applyAlignment="1">
      <alignment vertical="center"/>
    </xf>
    <xf numFmtId="0" fontId="3" fillId="0" borderId="9" xfId="0" applyFont="1" applyBorder="1" applyAlignment="1">
      <alignment horizontal="right" vertical="center"/>
    </xf>
    <xf numFmtId="0" fontId="2" fillId="10" borderId="10" xfId="0" applyFont="1" applyFill="1" applyBorder="1" applyAlignment="1">
      <alignment vertical="center"/>
    </xf>
    <xf numFmtId="0" fontId="2" fillId="10" borderId="11" xfId="0" applyFont="1" applyFill="1" applyBorder="1" applyAlignment="1">
      <alignment vertical="center"/>
    </xf>
    <xf numFmtId="0" fontId="3" fillId="0" borderId="9" xfId="0" applyFont="1" applyBorder="1" applyAlignment="1">
      <alignment vertical="center"/>
    </xf>
    <xf numFmtId="0" fontId="2" fillId="0" borderId="10" xfId="0" applyFont="1" applyBorder="1" applyAlignment="1">
      <alignment vertical="center"/>
    </xf>
    <xf numFmtId="0" fontId="4" fillId="0" borderId="11" xfId="0" applyFont="1" applyBorder="1" applyAlignment="1">
      <alignment horizontal="right" vertical="center"/>
    </xf>
    <xf numFmtId="3" fontId="10" fillId="0" borderId="10" xfId="0" applyNumberFormat="1" applyFont="1" applyBorder="1" applyAlignment="1">
      <alignment vertical="center"/>
    </xf>
    <xf numFmtId="0" fontId="25" fillId="2" borderId="2" xfId="0" applyFont="1" applyFill="1" applyBorder="1" applyAlignment="1">
      <alignment horizontal="left" vertical="center" wrapText="1"/>
    </xf>
    <xf numFmtId="0" fontId="25" fillId="0" borderId="0" xfId="0" applyFont="1" applyBorder="1" applyAlignment="1">
      <alignment vertical="center" wrapText="1"/>
    </xf>
    <xf numFmtId="0" fontId="26" fillId="2" borderId="2" xfId="0" applyFont="1" applyFill="1" applyBorder="1" applyAlignment="1">
      <alignment horizontal="left" vertical="center" wrapText="1"/>
    </xf>
    <xf numFmtId="0" fontId="26" fillId="0" borderId="0" xfId="0" applyFont="1" applyBorder="1" applyAlignment="1">
      <alignment vertical="center" wrapText="1"/>
    </xf>
    <xf numFmtId="0" fontId="2" fillId="2" borderId="2" xfId="0" applyFont="1" applyFill="1" applyBorder="1" applyAlignment="1">
      <alignment horizontal="left" vertical="center"/>
    </xf>
    <xf numFmtId="0" fontId="26" fillId="2" borderId="2" xfId="0" applyFont="1" applyFill="1" applyBorder="1" applyAlignment="1">
      <alignment horizontal="left" vertical="center"/>
    </xf>
    <xf numFmtId="0" fontId="27" fillId="7" borderId="0" xfId="0" applyFont="1" applyFill="1" applyAlignment="1">
      <alignment vertical="center"/>
    </xf>
    <xf numFmtId="0" fontId="3" fillId="2" borderId="2" xfId="0" applyFont="1" applyFill="1" applyBorder="1" applyAlignment="1">
      <alignment horizontal="left" vertical="center"/>
    </xf>
    <xf numFmtId="0" fontId="25" fillId="2" borderId="2" xfId="0" applyFont="1" applyFill="1" applyBorder="1" applyAlignment="1">
      <alignment horizontal="left" vertical="center"/>
    </xf>
    <xf numFmtId="0" fontId="4" fillId="0" borderId="0" xfId="0" applyFont="1" applyBorder="1" applyAlignment="1">
      <alignmen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5" xfId="0" applyFont="1" applyBorder="1" applyAlignment="1">
      <alignment vertical="center" wrapText="1"/>
    </xf>
    <xf numFmtId="0" fontId="2" fillId="0" borderId="0" xfId="0" applyFont="1" applyAlignment="1">
      <alignment horizontal="right" vertical="center"/>
    </xf>
    <xf numFmtId="0" fontId="3" fillId="13" borderId="0" xfId="0" applyFont="1" applyFill="1" applyAlignment="1">
      <alignment horizontal="right" vertical="center"/>
    </xf>
    <xf numFmtId="0" fontId="3" fillId="13" borderId="0" xfId="0" applyFont="1" applyFill="1" applyAlignment="1">
      <alignment vertical="center"/>
    </xf>
    <xf numFmtId="0" fontId="9" fillId="0" borderId="0" xfId="0" applyFont="1" applyAlignment="1">
      <alignment vertical="center"/>
    </xf>
    <xf numFmtId="3" fontId="3" fillId="13" borderId="0" xfId="0" applyNumberFormat="1" applyFont="1" applyFill="1" applyAlignment="1">
      <alignment vertical="center"/>
    </xf>
    <xf numFmtId="165" fontId="11" fillId="4" borderId="22" xfId="245" applyNumberFormat="1" applyFont="1" applyFill="1" applyBorder="1" applyAlignment="1">
      <alignment horizontal="left" vertical="center" wrapText="1"/>
    </xf>
    <xf numFmtId="165" fontId="11" fillId="4" borderId="25" xfId="245" applyNumberFormat="1" applyFont="1" applyFill="1" applyBorder="1" applyAlignment="1">
      <alignment horizontal="left" vertical="center" wrapText="1"/>
    </xf>
    <xf numFmtId="0" fontId="11" fillId="4" borderId="31" xfId="0" applyFont="1" applyFill="1" applyBorder="1" applyAlignment="1">
      <alignment horizontal="left" vertical="center" wrapText="1"/>
    </xf>
    <xf numFmtId="0" fontId="5" fillId="5" borderId="31" xfId="128" applyFill="1" applyBorder="1" applyAlignment="1">
      <alignment horizontal="left" vertical="center" wrapText="1"/>
    </xf>
    <xf numFmtId="165" fontId="11" fillId="4" borderId="31" xfId="245" applyNumberFormat="1" applyFont="1" applyFill="1" applyBorder="1" applyAlignment="1">
      <alignment horizontal="left" vertical="center" wrapText="1"/>
    </xf>
    <xf numFmtId="0" fontId="11" fillId="10" borderId="31" xfId="0" applyFont="1" applyFill="1" applyBorder="1" applyAlignment="1">
      <alignment horizontal="left" vertical="center" wrapText="1"/>
    </xf>
    <xf numFmtId="0" fontId="5" fillId="5" borderId="26" xfId="128" applyFill="1" applyBorder="1" applyAlignment="1">
      <alignment horizontal="left" vertical="center" wrapText="1"/>
    </xf>
    <xf numFmtId="0" fontId="5" fillId="5" borderId="29" xfId="128" applyFill="1" applyBorder="1" applyAlignment="1">
      <alignment horizontal="left" vertical="center" wrapText="1"/>
    </xf>
    <xf numFmtId="165" fontId="11" fillId="4" borderId="27" xfId="245" applyNumberFormat="1" applyFont="1" applyFill="1" applyBorder="1" applyAlignment="1">
      <alignment horizontal="left" vertical="center" wrapText="1"/>
    </xf>
    <xf numFmtId="3" fontId="4" fillId="0" borderId="32" xfId="0" applyNumberFormat="1" applyFont="1" applyBorder="1" applyAlignment="1">
      <alignment vertical="center" wrapText="1"/>
    </xf>
    <xf numFmtId="3" fontId="4" fillId="0" borderId="18" xfId="0" applyNumberFormat="1" applyFont="1" applyBorder="1" applyAlignment="1">
      <alignment vertical="center" wrapText="1"/>
    </xf>
    <xf numFmtId="0" fontId="28" fillId="0" borderId="2" xfId="0" applyFont="1" applyBorder="1" applyAlignment="1">
      <alignment vertical="center"/>
    </xf>
    <xf numFmtId="0" fontId="4" fillId="0" borderId="18" xfId="0" applyFont="1" applyBorder="1" applyAlignment="1">
      <alignment horizontal="right" vertical="center"/>
    </xf>
    <xf numFmtId="49" fontId="25" fillId="15" borderId="2" xfId="0" applyNumberFormat="1" applyFont="1" applyFill="1" applyBorder="1" applyAlignment="1">
      <alignment horizontal="left" vertical="center" wrapText="1"/>
    </xf>
    <xf numFmtId="166" fontId="2" fillId="0" borderId="0" xfId="245" applyNumberFormat="1" applyFont="1" applyBorder="1" applyAlignment="1">
      <alignment vertical="center"/>
    </xf>
    <xf numFmtId="49" fontId="26" fillId="15" borderId="2" xfId="0" applyNumberFormat="1" applyFont="1" applyFill="1" applyBorder="1" applyAlignment="1">
      <alignment horizontal="left" vertical="center" wrapText="1"/>
    </xf>
    <xf numFmtId="49" fontId="2" fillId="15" borderId="2" xfId="0" applyNumberFormat="1" applyFont="1" applyFill="1" applyBorder="1" applyAlignment="1">
      <alignment horizontal="left" vertical="center"/>
    </xf>
    <xf numFmtId="49" fontId="26" fillId="15" borderId="2" xfId="0" applyNumberFormat="1" applyFont="1" applyFill="1" applyBorder="1" applyAlignment="1">
      <alignment horizontal="left" vertical="center"/>
    </xf>
    <xf numFmtId="49" fontId="3" fillId="15" borderId="2" xfId="0" applyNumberFormat="1" applyFont="1" applyFill="1" applyBorder="1" applyAlignment="1">
      <alignment horizontal="left" vertical="center"/>
    </xf>
    <xf numFmtId="49" fontId="25" fillId="15" borderId="2" xfId="0" applyNumberFormat="1" applyFont="1" applyFill="1" applyBorder="1" applyAlignment="1">
      <alignment horizontal="left" vertical="center"/>
    </xf>
    <xf numFmtId="49" fontId="2" fillId="15" borderId="2" xfId="0" applyNumberFormat="1" applyFont="1" applyFill="1" applyBorder="1" applyAlignment="1">
      <alignment horizontal="left" vertical="center" wrapText="1"/>
    </xf>
    <xf numFmtId="166" fontId="2" fillId="0" borderId="10" xfId="245" applyNumberFormat="1" applyFont="1" applyBorder="1" applyAlignment="1">
      <alignment vertical="center"/>
    </xf>
    <xf numFmtId="49" fontId="11" fillId="4" borderId="23" xfId="0" applyNumberFormat="1" applyFont="1" applyFill="1" applyBorder="1" applyAlignment="1">
      <alignment horizontal="left" vertical="center" wrapText="1"/>
    </xf>
    <xf numFmtId="49" fontId="11" fillId="4" borderId="15" xfId="0" applyNumberFormat="1" applyFont="1" applyFill="1" applyBorder="1" applyAlignment="1">
      <alignment horizontal="left" vertical="center" wrapText="1"/>
    </xf>
    <xf numFmtId="49" fontId="11" fillId="4" borderId="28" xfId="0" applyNumberFormat="1" applyFont="1" applyFill="1" applyBorder="1" applyAlignment="1">
      <alignment horizontal="left" vertical="center" wrapText="1"/>
    </xf>
    <xf numFmtId="0" fontId="5" fillId="4" borderId="26" xfId="128" applyFill="1" applyBorder="1" applyAlignment="1">
      <alignment horizontal="left" vertical="center" wrapText="1"/>
    </xf>
    <xf numFmtId="164" fontId="11" fillId="4" borderId="29" xfId="0" applyNumberFormat="1" applyFont="1" applyFill="1" applyBorder="1" applyAlignment="1">
      <alignment horizontal="left" vertical="center" wrapText="1"/>
    </xf>
    <xf numFmtId="0" fontId="3" fillId="0" borderId="10" xfId="0" applyFont="1" applyBorder="1" applyAlignment="1">
      <alignment vertical="center"/>
    </xf>
    <xf numFmtId="49" fontId="25" fillId="15" borderId="0" xfId="0" applyNumberFormat="1" applyFont="1" applyFill="1" applyBorder="1" applyAlignment="1">
      <alignment vertical="center" wrapText="1"/>
    </xf>
    <xf numFmtId="49" fontId="2" fillId="15" borderId="0" xfId="0" applyNumberFormat="1" applyFont="1" applyFill="1" applyBorder="1" applyAlignment="1">
      <alignment vertical="center" wrapText="1"/>
    </xf>
    <xf numFmtId="49" fontId="4" fillId="15" borderId="0" xfId="0" applyNumberFormat="1" applyFont="1" applyFill="1" applyBorder="1" applyAlignment="1">
      <alignment vertical="center" wrapText="1"/>
    </xf>
    <xf numFmtId="49" fontId="2" fillId="15" borderId="1" xfId="0" applyNumberFormat="1" applyFont="1" applyFill="1" applyBorder="1" applyAlignment="1">
      <alignment vertical="center" wrapText="1"/>
    </xf>
    <xf numFmtId="49" fontId="2" fillId="15" borderId="5" xfId="0" applyNumberFormat="1" applyFont="1" applyFill="1" applyBorder="1" applyAlignment="1">
      <alignment vertical="center" wrapText="1"/>
    </xf>
    <xf numFmtId="49" fontId="26"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2"/>
    </xf>
    <xf numFmtId="49" fontId="2" fillId="15" borderId="0" xfId="0" applyNumberFormat="1" applyFont="1" applyFill="1" applyBorder="1" applyAlignment="1">
      <alignment horizontal="left" vertical="center" wrapText="1" indent="4"/>
    </xf>
    <xf numFmtId="49" fontId="26" fillId="15" borderId="0" xfId="0" applyNumberFormat="1" applyFont="1" applyFill="1" applyBorder="1" applyAlignment="1">
      <alignment horizontal="left" vertical="center" wrapText="1" indent="4"/>
    </xf>
    <xf numFmtId="49" fontId="2" fillId="15" borderId="0" xfId="0" applyNumberFormat="1" applyFont="1" applyFill="1" applyBorder="1" applyAlignment="1">
      <alignment horizontal="left" vertical="center" wrapText="1" indent="6"/>
    </xf>
    <xf numFmtId="49" fontId="26" fillId="15" borderId="0" xfId="0" applyNumberFormat="1" applyFont="1" applyFill="1" applyBorder="1" applyAlignment="1">
      <alignment horizontal="left" vertical="center" wrapText="1" indent="6"/>
    </xf>
    <xf numFmtId="49" fontId="2" fillId="15" borderId="0" xfId="0" applyNumberFormat="1" applyFont="1" applyFill="1" applyBorder="1" applyAlignment="1">
      <alignment horizontal="left" vertical="center" wrapText="1" indent="8"/>
    </xf>
    <xf numFmtId="0" fontId="11" fillId="0" borderId="4" xfId="0" applyFont="1" applyBorder="1" applyAlignment="1">
      <alignment horizontal="left" vertical="center" wrapText="1"/>
    </xf>
    <xf numFmtId="0" fontId="5" fillId="4" borderId="31" xfId="128" applyFont="1" applyFill="1" applyBorder="1" applyAlignment="1">
      <alignment horizontal="left" vertical="center" wrapText="1"/>
    </xf>
    <xf numFmtId="164" fontId="11" fillId="4" borderId="15" xfId="0" applyNumberFormat="1" applyFont="1" applyFill="1" applyBorder="1" applyAlignment="1">
      <alignment horizontal="left" vertical="center" wrapText="1"/>
    </xf>
    <xf numFmtId="0" fontId="3" fillId="0" borderId="17" xfId="0" applyFont="1" applyBorder="1" applyAlignment="1">
      <alignment vertical="center" wrapText="1"/>
    </xf>
    <xf numFmtId="0" fontId="0" fillId="5" borderId="32" xfId="0" applyFill="1" applyBorder="1" applyAlignment="1">
      <alignment vertical="center" wrapText="1"/>
    </xf>
    <xf numFmtId="0" fontId="0" fillId="5" borderId="18" xfId="0" applyFill="1" applyBorder="1" applyAlignment="1">
      <alignment vertical="center" wrapText="1"/>
    </xf>
    <xf numFmtId="49" fontId="2" fillId="5" borderId="0" xfId="0" applyNumberFormat="1" applyFont="1" applyFill="1" applyBorder="1" applyAlignment="1">
      <alignment vertical="center"/>
    </xf>
    <xf numFmtId="49" fontId="24" fillId="5" borderId="0" xfId="0" applyNumberFormat="1" applyFont="1" applyFill="1" applyBorder="1" applyAlignment="1">
      <alignment vertical="center"/>
    </xf>
    <xf numFmtId="0" fontId="3" fillId="0" borderId="17" xfId="0" applyFont="1" applyBorder="1" applyAlignment="1">
      <alignment vertical="center"/>
    </xf>
    <xf numFmtId="0" fontId="2" fillId="10" borderId="18" xfId="0" applyFont="1" applyFill="1" applyBorder="1" applyAlignment="1">
      <alignment vertical="center"/>
    </xf>
    <xf numFmtId="164" fontId="11" fillId="4" borderId="15" xfId="0" applyNumberFormat="1" applyFont="1" applyFill="1" applyBorder="1" applyAlignment="1">
      <alignment horizontal="left" vertical="center" wrapText="1"/>
    </xf>
    <xf numFmtId="49" fontId="39" fillId="15" borderId="0" xfId="0" applyNumberFormat="1" applyFont="1" applyFill="1" applyBorder="1" applyAlignment="1">
      <alignment horizontal="left" vertical="center" wrapText="1" indent="2"/>
    </xf>
    <xf numFmtId="0" fontId="20" fillId="0" borderId="0" xfId="0" applyFont="1" applyAlignment="1">
      <alignment horizontal="left" vertical="center"/>
    </xf>
    <xf numFmtId="0" fontId="21" fillId="0" borderId="0" xfId="0" applyFont="1" applyAlignment="1">
      <alignment horizontal="left" vertical="center"/>
    </xf>
    <xf numFmtId="0" fontId="20" fillId="0" borderId="0" xfId="0" applyFont="1" applyAlignment="1">
      <alignment vertical="center"/>
    </xf>
    <xf numFmtId="0" fontId="21" fillId="0" borderId="0" xfId="0" applyFont="1" applyAlignment="1">
      <alignment vertical="center"/>
    </xf>
    <xf numFmtId="0" fontId="21" fillId="9" borderId="0" xfId="0" applyFont="1" applyFill="1" applyAlignment="1">
      <alignment vertical="center"/>
    </xf>
    <xf numFmtId="0" fontId="21" fillId="0" borderId="0" xfId="0" applyFont="1" applyFill="1" applyAlignment="1">
      <alignment vertical="center"/>
    </xf>
    <xf numFmtId="164" fontId="11" fillId="4" borderId="15" xfId="0" applyNumberFormat="1" applyFont="1" applyFill="1" applyBorder="1" applyAlignment="1">
      <alignment horizontal="left" vertical="center" wrapText="1"/>
    </xf>
    <xf numFmtId="164" fontId="11" fillId="4" borderId="15" xfId="0" applyNumberFormat="1" applyFont="1" applyFill="1" applyBorder="1" applyAlignment="1">
      <alignment horizontal="left" vertical="center" wrapText="1"/>
    </xf>
    <xf numFmtId="0" fontId="11" fillId="4" borderId="33" xfId="0" applyFont="1" applyFill="1" applyBorder="1" applyAlignment="1">
      <alignment horizontal="left" wrapText="1"/>
    </xf>
    <xf numFmtId="164" fontId="11" fillId="4" borderId="34" xfId="0" applyNumberFormat="1" applyFont="1" applyFill="1" applyBorder="1" applyAlignment="1">
      <alignment horizontal="left" wrapText="1"/>
    </xf>
    <xf numFmtId="0" fontId="11" fillId="4" borderId="34" xfId="0" applyFont="1" applyFill="1" applyBorder="1" applyAlignment="1">
      <alignment horizontal="left" wrapText="1"/>
    </xf>
    <xf numFmtId="0" fontId="11" fillId="5" borderId="34" xfId="0" applyFont="1" applyFill="1" applyBorder="1" applyAlignment="1">
      <alignment horizontal="left" wrapText="1"/>
    </xf>
    <xf numFmtId="0" fontId="5" fillId="4" borderId="31" xfId="128" applyFill="1" applyBorder="1" applyAlignment="1">
      <alignment horizontal="left" vertical="center" wrapText="1"/>
    </xf>
    <xf numFmtId="0" fontId="5" fillId="10" borderId="35" xfId="128" applyFill="1" applyBorder="1" applyAlignment="1">
      <alignment horizontal="left" wrapText="1"/>
    </xf>
    <xf numFmtId="164" fontId="11" fillId="4" borderId="26" xfId="0" applyNumberFormat="1" applyFont="1" applyFill="1" applyBorder="1" applyAlignment="1">
      <alignment horizontal="left" wrapText="1"/>
    </xf>
    <xf numFmtId="0" fontId="28" fillId="0" borderId="0" xfId="0" applyFont="1" applyAlignment="1">
      <alignment vertical="center"/>
    </xf>
    <xf numFmtId="0" fontId="9" fillId="0" borderId="3" xfId="0" applyFont="1" applyBorder="1" applyAlignment="1">
      <alignment vertical="center"/>
    </xf>
    <xf numFmtId="0" fontId="11" fillId="5" borderId="26" xfId="0" applyFont="1" applyFill="1" applyBorder="1" applyAlignment="1">
      <alignment horizontal="left" wrapText="1"/>
    </xf>
    <xf numFmtId="164" fontId="11" fillId="4" borderId="26" xfId="0" applyNumberFormat="1" applyFont="1" applyFill="1" applyBorder="1" applyAlignment="1">
      <alignment horizontal="left" vertical="top" wrapText="1"/>
    </xf>
    <xf numFmtId="0" fontId="11" fillId="0" borderId="14" xfId="0" applyFont="1" applyBorder="1"/>
    <xf numFmtId="0" fontId="2" fillId="10" borderId="0" xfId="0" applyFont="1" applyFill="1" applyBorder="1" applyAlignment="1">
      <alignment vertical="center" wrapText="1"/>
    </xf>
    <xf numFmtId="0" fontId="2" fillId="0" borderId="0" xfId="0" applyFont="1" applyAlignment="1">
      <alignment vertical="center" wrapText="1"/>
    </xf>
    <xf numFmtId="0" fontId="2" fillId="10" borderId="10" xfId="0" applyFont="1" applyFill="1" applyBorder="1" applyAlignment="1">
      <alignment vertical="center" wrapText="1"/>
    </xf>
    <xf numFmtId="0" fontId="2" fillId="2" borderId="2" xfId="0" applyFont="1" applyFill="1" applyBorder="1" applyAlignment="1">
      <alignment horizontal="left" vertical="top"/>
    </xf>
    <xf numFmtId="0" fontId="7" fillId="3" borderId="8" xfId="27" applyFont="1" applyBorder="1" applyAlignment="1">
      <alignment vertical="center" wrapText="1"/>
    </xf>
    <xf numFmtId="167" fontId="41" fillId="0" borderId="0" xfId="331" applyNumberFormat="1" applyFont="1" applyFill="1" applyBorder="1" applyAlignment="1">
      <alignment vertical="center"/>
    </xf>
    <xf numFmtId="0" fontId="3" fillId="0" borderId="0" xfId="0" applyFont="1" applyAlignment="1">
      <alignment vertical="center"/>
    </xf>
    <xf numFmtId="3" fontId="3" fillId="0" borderId="0" xfId="0" applyNumberFormat="1" applyFont="1" applyAlignment="1">
      <alignment vertical="center"/>
    </xf>
    <xf numFmtId="0" fontId="21" fillId="0" borderId="0" xfId="0" applyFont="1" applyAlignment="1">
      <alignment vertical="center"/>
    </xf>
    <xf numFmtId="0" fontId="0" fillId="0" borderId="0" xfId="0" applyAlignment="1">
      <alignment vertical="center"/>
    </xf>
    <xf numFmtId="0" fontId="21" fillId="8" borderId="0" xfId="0" applyFont="1" applyFill="1" applyAlignment="1">
      <alignment vertical="center"/>
    </xf>
    <xf numFmtId="0" fontId="36" fillId="7" borderId="0" xfId="0" applyFont="1" applyFill="1" applyAlignment="1">
      <alignment vertical="center"/>
    </xf>
    <xf numFmtId="0" fontId="37"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164" fontId="11" fillId="5" borderId="25" xfId="0" applyNumberFormat="1" applyFont="1" applyFill="1" applyBorder="1" applyAlignment="1">
      <alignment horizontal="left" vertical="center" wrapText="1"/>
    </xf>
    <xf numFmtId="164" fontId="11" fillId="5" borderId="15" xfId="0" applyNumberFormat="1" applyFont="1" applyFill="1" applyBorder="1" applyAlignment="1">
      <alignment horizontal="left" vertical="center" wrapText="1"/>
    </xf>
    <xf numFmtId="0" fontId="11" fillId="10" borderId="25" xfId="0" applyFont="1" applyFill="1" applyBorder="1" applyAlignment="1">
      <alignment horizontal="left" vertical="center" wrapText="1"/>
    </xf>
    <xf numFmtId="0" fontId="11" fillId="10" borderId="15" xfId="0" applyFont="1" applyFill="1" applyBorder="1" applyAlignment="1">
      <alignment horizontal="left" vertical="center" wrapText="1"/>
    </xf>
    <xf numFmtId="0" fontId="11" fillId="5" borderId="25" xfId="0" applyFont="1" applyFill="1" applyBorder="1" applyAlignment="1">
      <alignment horizontal="left" vertical="center" wrapText="1"/>
    </xf>
    <xf numFmtId="0" fontId="11" fillId="5" borderId="15" xfId="0" applyFont="1" applyFill="1" applyBorder="1" applyAlignment="1">
      <alignment horizontal="left" vertical="center" wrapText="1"/>
    </xf>
    <xf numFmtId="164" fontId="11" fillId="4" borderId="25" xfId="0" applyNumberFormat="1" applyFont="1" applyFill="1" applyBorder="1" applyAlignment="1">
      <alignment horizontal="left" wrapText="1"/>
    </xf>
    <xf numFmtId="164" fontId="11" fillId="4" borderId="15" xfId="0" applyNumberFormat="1" applyFont="1" applyFill="1" applyBorder="1" applyAlignment="1">
      <alignment horizontal="left" wrapText="1"/>
    </xf>
    <xf numFmtId="0" fontId="11" fillId="5" borderId="25" xfId="0" applyFont="1" applyFill="1" applyBorder="1" applyAlignment="1">
      <alignment horizontal="left" vertical="top" wrapText="1"/>
    </xf>
    <xf numFmtId="0" fontId="11" fillId="5" borderId="15" xfId="0" applyFont="1" applyFill="1" applyBorder="1" applyAlignment="1">
      <alignment horizontal="left" vertical="top" wrapText="1"/>
    </xf>
    <xf numFmtId="164" fontId="11" fillId="4" borderId="25" xfId="0" applyNumberFormat="1" applyFont="1" applyFill="1" applyBorder="1" applyAlignment="1">
      <alignment horizontal="left" vertical="top" wrapText="1"/>
    </xf>
    <xf numFmtId="164" fontId="11" fillId="4" borderId="15" xfId="0" applyNumberFormat="1" applyFont="1" applyFill="1" applyBorder="1" applyAlignment="1">
      <alignment horizontal="left" vertical="top" wrapText="1"/>
    </xf>
    <xf numFmtId="164" fontId="11" fillId="4" borderId="25" xfId="0" applyNumberFormat="1" applyFont="1" applyFill="1" applyBorder="1" applyAlignment="1">
      <alignment horizontal="left" vertical="center" wrapText="1"/>
    </xf>
    <xf numFmtId="164" fontId="11" fillId="4" borderId="15" xfId="0" applyNumberFormat="1" applyFont="1" applyFill="1" applyBorder="1" applyAlignment="1">
      <alignment horizontal="left" vertical="center" wrapText="1"/>
    </xf>
    <xf numFmtId="164" fontId="11" fillId="5" borderId="27" xfId="0" applyNumberFormat="1" applyFont="1" applyFill="1" applyBorder="1" applyAlignment="1">
      <alignment horizontal="left" vertical="center" wrapText="1"/>
    </xf>
    <xf numFmtId="164" fontId="11" fillId="5" borderId="28" xfId="0" applyNumberFormat="1" applyFont="1" applyFill="1" applyBorder="1" applyAlignment="1">
      <alignment horizontal="left" vertical="center" wrapText="1"/>
    </xf>
    <xf numFmtId="0" fontId="11" fillId="10" borderId="22" xfId="0" applyFont="1" applyFill="1" applyBorder="1" applyAlignment="1">
      <alignment horizontal="left" vertical="center" wrapText="1"/>
    </xf>
    <xf numFmtId="0" fontId="11" fillId="10" borderId="23" xfId="0" applyFont="1" applyFill="1" applyBorder="1" applyAlignment="1">
      <alignment horizontal="left" vertical="center" wrapText="1"/>
    </xf>
    <xf numFmtId="0" fontId="14" fillId="0" borderId="0" xfId="0" applyFont="1" applyBorder="1" applyAlignment="1">
      <alignment horizontal="left" vertical="center"/>
    </xf>
    <xf numFmtId="0" fontId="0" fillId="0" borderId="0" xfId="0" applyBorder="1" applyAlignment="1">
      <alignment horizontal="left" vertical="center"/>
    </xf>
    <xf numFmtId="0" fontId="9" fillId="0" borderId="3" xfId="0" applyFont="1" applyBorder="1" applyAlignment="1">
      <alignment horizontal="left" vertical="center"/>
    </xf>
    <xf numFmtId="0" fontId="0" fillId="0" borderId="4" xfId="0" applyBorder="1" applyAlignment="1">
      <alignment vertical="center"/>
    </xf>
    <xf numFmtId="3" fontId="14" fillId="0" borderId="2" xfId="0" applyNumberFormat="1" applyFont="1" applyBorder="1" applyAlignment="1">
      <alignment vertical="center"/>
    </xf>
    <xf numFmtId="0" fontId="10" fillId="0" borderId="0" xfId="0" applyFont="1" applyBorder="1" applyAlignment="1">
      <alignment vertical="center"/>
    </xf>
    <xf numFmtId="0" fontId="29" fillId="0" borderId="0" xfId="0" applyFont="1" applyAlignment="1">
      <alignment vertical="center"/>
    </xf>
    <xf numFmtId="0" fontId="28" fillId="0" borderId="0" xfId="0" applyFont="1" applyAlignment="1">
      <alignment vertical="center"/>
    </xf>
    <xf numFmtId="0" fontId="17"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7" xfId="0" applyFont="1" applyBorder="1" applyAlignment="1">
      <alignment vertical="center"/>
    </xf>
    <xf numFmtId="0" fontId="28" fillId="0" borderId="2" xfId="0" applyFont="1" applyBorder="1" applyAlignment="1">
      <alignment horizontal="left" vertical="center" wrapText="1"/>
    </xf>
    <xf numFmtId="0" fontId="28" fillId="0" borderId="0" xfId="0" applyFont="1" applyBorder="1" applyAlignment="1">
      <alignment horizontal="left" vertical="center" wrapText="1"/>
    </xf>
    <xf numFmtId="0" fontId="28" fillId="0" borderId="8" xfId="0" applyFont="1" applyBorder="1" applyAlignment="1">
      <alignment horizontal="left" vertical="center" wrapText="1"/>
    </xf>
    <xf numFmtId="0" fontId="9" fillId="0" borderId="30" xfId="0" applyFont="1"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wrapText="1"/>
    </xf>
    <xf numFmtId="0" fontId="9" fillId="0" borderId="4" xfId="0" applyFont="1" applyBorder="1" applyAlignment="1">
      <alignment horizontal="left" vertical="center"/>
    </xf>
    <xf numFmtId="0" fontId="31" fillId="0" borderId="3" xfId="0" applyFont="1" applyBorder="1" applyAlignment="1">
      <alignment vertical="center" wrapText="1"/>
    </xf>
    <xf numFmtId="0" fontId="0" fillId="0" borderId="4" xfId="0" applyBorder="1" applyAlignment="1">
      <alignment vertical="center" wrapText="1"/>
    </xf>
    <xf numFmtId="0" fontId="0" fillId="0" borderId="7" xfId="0" applyBorder="1" applyAlignment="1">
      <alignment vertical="center" wrapText="1"/>
    </xf>
    <xf numFmtId="0" fontId="5" fillId="5" borderId="25" xfId="128" applyFill="1" applyBorder="1" applyAlignment="1">
      <alignment horizontal="left" vertical="center" wrapText="1"/>
    </xf>
  </cellXfs>
  <cellStyles count="332">
    <cellStyle name="Entrée" xfId="27" builtinId="20"/>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xfId="92" builtinId="8" hidden="1"/>
    <cellStyle name="Lien hypertexte" xfId="94" builtinId="8" hidden="1"/>
    <cellStyle name="Lien hypertexte" xfId="96" builtinId="8" hidden="1"/>
    <cellStyle name="Lien hypertexte" xfId="98" builtinId="8" hidden="1"/>
    <cellStyle name="Lien hypertexte" xfId="100" builtinId="8" hidden="1"/>
    <cellStyle name="Lien hypertexte" xfId="102" builtinId="8" hidden="1"/>
    <cellStyle name="Lien hypertexte" xfId="104" builtinId="8" hidden="1"/>
    <cellStyle name="Lien hypertexte" xfId="106" builtinId="8" hidden="1"/>
    <cellStyle name="Lien hypertexte" xfId="108" builtinId="8" hidden="1"/>
    <cellStyle name="Lien hypertexte" xfId="110" builtinId="8" hidden="1"/>
    <cellStyle name="Lien hypertexte" xfId="112" builtinId="8" hidden="1"/>
    <cellStyle name="Lien hypertexte" xfId="114" builtinId="8" hidden="1"/>
    <cellStyle name="Lien hypertexte" xfId="116" builtinId="8" hidden="1"/>
    <cellStyle name="Lien hypertexte" xfId="118" builtinId="8" hidden="1"/>
    <cellStyle name="Lien hypertexte" xfId="120" builtinId="8" hidden="1"/>
    <cellStyle name="Lien hypertexte" xfId="122" builtinId="8" hidden="1"/>
    <cellStyle name="Lien hypertexte" xfId="124" builtinId="8" hidden="1"/>
    <cellStyle name="Lien hypertexte" xfId="126" builtinId="8" hidden="1"/>
    <cellStyle name="Lien hypertexte" xfId="128"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Lien hypertexte visité" xfId="93" builtinId="9" hidden="1"/>
    <cellStyle name="Lien hypertexte visité" xfId="95" builtinId="9" hidden="1"/>
    <cellStyle name="Lien hypertexte visité" xfId="97" builtinId="9" hidden="1"/>
    <cellStyle name="Lien hypertexte visité" xfId="99" builtinId="9" hidden="1"/>
    <cellStyle name="Lien hypertexte visité" xfId="101" builtinId="9" hidden="1"/>
    <cellStyle name="Lien hypertexte visité" xfId="103" builtinId="9" hidden="1"/>
    <cellStyle name="Lien hypertexte visité" xfId="105" builtinId="9" hidden="1"/>
    <cellStyle name="Lien hypertexte visité" xfId="107" builtinId="9" hidden="1"/>
    <cellStyle name="Lien hypertexte visité" xfId="109" builtinId="9" hidden="1"/>
    <cellStyle name="Lien hypertexte visité" xfId="111" builtinId="9" hidden="1"/>
    <cellStyle name="Lien hypertexte visité" xfId="113" builtinId="9" hidden="1"/>
    <cellStyle name="Lien hypertexte visité" xfId="115" builtinId="9" hidden="1"/>
    <cellStyle name="Lien hypertexte visité" xfId="117" builtinId="9" hidden="1"/>
    <cellStyle name="Lien hypertexte visité" xfId="119" builtinId="9" hidden="1"/>
    <cellStyle name="Lien hypertexte visité" xfId="121" builtinId="9" hidden="1"/>
    <cellStyle name="Lien hypertexte visité" xfId="123" builtinId="9" hidden="1"/>
    <cellStyle name="Lien hypertexte visité" xfId="125" builtinId="9" hidden="1"/>
    <cellStyle name="Lien hypertexte visité" xfId="127" builtinId="9" hidden="1"/>
    <cellStyle name="Lien hypertexte visité" xfId="129" builtinId="9" hidden="1"/>
    <cellStyle name="Lien hypertexte visité" xfId="130" builtinId="9" hidden="1"/>
    <cellStyle name="Lien hypertexte visité" xfId="131" builtinId="9" hidden="1"/>
    <cellStyle name="Lien hypertexte visité" xfId="132" builtinId="9" hidden="1"/>
    <cellStyle name="Lien hypertexte visité" xfId="133" builtinId="9" hidden="1"/>
    <cellStyle name="Lien hypertexte visité" xfId="134" builtinId="9" hidden="1"/>
    <cellStyle name="Lien hypertexte visité" xfId="135" builtinId="9" hidden="1"/>
    <cellStyle name="Lien hypertexte visité" xfId="136" builtinId="9" hidden="1"/>
    <cellStyle name="Lien hypertexte visité" xfId="137" builtinId="9" hidden="1"/>
    <cellStyle name="Lien hypertexte visité" xfId="138" builtinId="9" hidden="1"/>
    <cellStyle name="Lien hypertexte visité" xfId="139" builtinId="9" hidden="1"/>
    <cellStyle name="Lien hypertexte visité" xfId="140" builtinId="9" hidden="1"/>
    <cellStyle name="Lien hypertexte visité" xfId="141" builtinId="9" hidden="1"/>
    <cellStyle name="Lien hypertexte visité" xfId="142" builtinId="9" hidden="1"/>
    <cellStyle name="Lien hypertexte visité" xfId="143" builtinId="9" hidden="1"/>
    <cellStyle name="Lien hypertexte visité" xfId="144" builtinId="9" hidden="1"/>
    <cellStyle name="Lien hypertexte visité" xfId="145" builtinId="9" hidden="1"/>
    <cellStyle name="Lien hypertexte visité" xfId="146" builtinId="9" hidden="1"/>
    <cellStyle name="Lien hypertexte visité" xfId="147" builtinId="9" hidden="1"/>
    <cellStyle name="Lien hypertexte visité" xfId="148" builtinId="9" hidden="1"/>
    <cellStyle name="Lien hypertexte visité" xfId="149" builtinId="9" hidden="1"/>
    <cellStyle name="Lien hypertexte visité" xfId="150" builtinId="9" hidden="1"/>
    <cellStyle name="Lien hypertexte visité" xfId="151" builtinId="9" hidden="1"/>
    <cellStyle name="Lien hypertexte visité" xfId="152" builtinId="9" hidden="1"/>
    <cellStyle name="Lien hypertexte visité" xfId="153" builtinId="9" hidden="1"/>
    <cellStyle name="Lien hypertexte visité" xfId="154" builtinId="9" hidden="1"/>
    <cellStyle name="Lien hypertexte visité" xfId="155" builtinId="9" hidden="1"/>
    <cellStyle name="Lien hypertexte visité" xfId="156" builtinId="9" hidden="1"/>
    <cellStyle name="Lien hypertexte visité" xfId="157" builtinId="9" hidden="1"/>
    <cellStyle name="Lien hypertexte visité" xfId="158" builtinId="9" hidden="1"/>
    <cellStyle name="Lien hypertexte visité" xfId="159" builtinId="9" hidden="1"/>
    <cellStyle name="Lien hypertexte visité" xfId="160" builtinId="9" hidden="1"/>
    <cellStyle name="Lien hypertexte visité" xfId="161" builtinId="9" hidden="1"/>
    <cellStyle name="Lien hypertexte visité" xfId="162" builtinId="9" hidden="1"/>
    <cellStyle name="Lien hypertexte visité" xfId="163" builtinId="9" hidden="1"/>
    <cellStyle name="Lien hypertexte visité" xfId="164" builtinId="9" hidden="1"/>
    <cellStyle name="Lien hypertexte visité" xfId="165" builtinId="9" hidden="1"/>
    <cellStyle name="Lien hypertexte visité" xfId="166" builtinId="9" hidden="1"/>
    <cellStyle name="Lien hypertexte visité" xfId="167" builtinId="9" hidden="1"/>
    <cellStyle name="Lien hypertexte visité" xfId="168" builtinId="9" hidden="1"/>
    <cellStyle name="Lien hypertexte visité" xfId="169" builtinId="9" hidden="1"/>
    <cellStyle name="Lien hypertexte visité" xfId="170" builtinId="9" hidden="1"/>
    <cellStyle name="Lien hypertexte visité" xfId="171" builtinId="9" hidden="1"/>
    <cellStyle name="Lien hypertexte visité" xfId="172" builtinId="9" hidden="1"/>
    <cellStyle name="Lien hypertexte visité" xfId="173" builtinId="9" hidden="1"/>
    <cellStyle name="Lien hypertexte visité" xfId="174" builtinId="9" hidden="1"/>
    <cellStyle name="Lien hypertexte visité" xfId="175" builtinId="9" hidden="1"/>
    <cellStyle name="Lien hypertexte visité" xfId="176" builtinId="9" hidden="1"/>
    <cellStyle name="Lien hypertexte visité" xfId="177" builtinId="9" hidden="1"/>
    <cellStyle name="Lien hypertexte visité" xfId="178" builtinId="9" hidden="1"/>
    <cellStyle name="Lien hypertexte visité" xfId="179" builtinId="9" hidden="1"/>
    <cellStyle name="Lien hypertexte visité" xfId="180" builtinId="9" hidden="1"/>
    <cellStyle name="Lien hypertexte visité" xfId="181" builtinId="9" hidden="1"/>
    <cellStyle name="Lien hypertexte visité" xfId="182" builtinId="9" hidden="1"/>
    <cellStyle name="Lien hypertexte visité" xfId="183" builtinId="9" hidden="1"/>
    <cellStyle name="Lien hypertexte visité" xfId="184" builtinId="9" hidden="1"/>
    <cellStyle name="Lien hypertexte visité" xfId="185" builtinId="9" hidden="1"/>
    <cellStyle name="Lien hypertexte visité" xfId="186" builtinId="9" hidden="1"/>
    <cellStyle name="Lien hypertexte visité" xfId="187" builtinId="9" hidden="1"/>
    <cellStyle name="Lien hypertexte visité" xfId="188" builtinId="9" hidden="1"/>
    <cellStyle name="Lien hypertexte visité" xfId="189" builtinId="9" hidden="1"/>
    <cellStyle name="Lien hypertexte visité" xfId="190" builtinId="9" hidden="1"/>
    <cellStyle name="Lien hypertexte visité" xfId="191" builtinId="9" hidden="1"/>
    <cellStyle name="Lien hypertexte visité" xfId="192" builtinId="9" hidden="1"/>
    <cellStyle name="Lien hypertexte visité" xfId="193" builtinId="9" hidden="1"/>
    <cellStyle name="Lien hypertexte visité" xfId="194" builtinId="9" hidden="1"/>
    <cellStyle name="Lien hypertexte visité" xfId="195" builtinId="9" hidden="1"/>
    <cellStyle name="Lien hypertexte visité" xfId="196" builtinId="9" hidden="1"/>
    <cellStyle name="Lien hypertexte visité" xfId="197" builtinId="9" hidden="1"/>
    <cellStyle name="Lien hypertexte visité" xfId="198" builtinId="9" hidden="1"/>
    <cellStyle name="Lien hypertexte visité" xfId="199" builtinId="9" hidden="1"/>
    <cellStyle name="Lien hypertexte visité" xfId="200" builtinId="9" hidden="1"/>
    <cellStyle name="Lien hypertexte visité" xfId="201" builtinId="9" hidden="1"/>
    <cellStyle name="Lien hypertexte visité" xfId="202" builtinId="9" hidden="1"/>
    <cellStyle name="Lien hypertexte visité" xfId="203" builtinId="9" hidden="1"/>
    <cellStyle name="Lien hypertexte visité" xfId="204" builtinId="9" hidden="1"/>
    <cellStyle name="Lien hypertexte visité" xfId="205" builtinId="9" hidden="1"/>
    <cellStyle name="Lien hypertexte visité" xfId="206" builtinId="9" hidden="1"/>
    <cellStyle name="Lien hypertexte visité" xfId="207" builtinId="9" hidden="1"/>
    <cellStyle name="Lien hypertexte visité" xfId="208" builtinId="9" hidden="1"/>
    <cellStyle name="Lien hypertexte visité" xfId="209" builtinId="9" hidden="1"/>
    <cellStyle name="Lien hypertexte visité" xfId="210" builtinId="9" hidden="1"/>
    <cellStyle name="Lien hypertexte visité" xfId="211" builtinId="9" hidden="1"/>
    <cellStyle name="Lien hypertexte visité" xfId="212" builtinId="9" hidden="1"/>
    <cellStyle name="Lien hypertexte visité" xfId="213" builtinId="9" hidden="1"/>
    <cellStyle name="Lien hypertexte visité" xfId="214" builtinId="9" hidden="1"/>
    <cellStyle name="Lien hypertexte visité" xfId="215" builtinId="9" hidden="1"/>
    <cellStyle name="Lien hypertexte visité" xfId="216" builtinId="9" hidden="1"/>
    <cellStyle name="Lien hypertexte visité" xfId="217" builtinId="9" hidden="1"/>
    <cellStyle name="Lien hypertexte visité" xfId="218" builtinId="9" hidden="1"/>
    <cellStyle name="Lien hypertexte visité" xfId="219" builtinId="9" hidden="1"/>
    <cellStyle name="Lien hypertexte visité" xfId="220" builtinId="9" hidden="1"/>
    <cellStyle name="Lien hypertexte visité" xfId="221" builtinId="9" hidden="1"/>
    <cellStyle name="Lien hypertexte visité" xfId="222" builtinId="9" hidden="1"/>
    <cellStyle name="Lien hypertexte visité" xfId="223" builtinId="9" hidden="1"/>
    <cellStyle name="Lien hypertexte visité" xfId="224" builtinId="9" hidden="1"/>
    <cellStyle name="Lien hypertexte visité" xfId="225" builtinId="9" hidden="1"/>
    <cellStyle name="Lien hypertexte visité" xfId="226" builtinId="9" hidden="1"/>
    <cellStyle name="Lien hypertexte visité" xfId="227" builtinId="9" hidden="1"/>
    <cellStyle name="Lien hypertexte visité" xfId="228" builtinId="9" hidden="1"/>
    <cellStyle name="Lien hypertexte visité" xfId="229" builtinId="9" hidden="1"/>
    <cellStyle name="Lien hypertexte visité" xfId="230" builtinId="9" hidden="1"/>
    <cellStyle name="Lien hypertexte visité" xfId="231" builtinId="9" hidden="1"/>
    <cellStyle name="Lien hypertexte visité" xfId="232" builtinId="9" hidden="1"/>
    <cellStyle name="Lien hypertexte visité" xfId="233" builtinId="9" hidden="1"/>
    <cellStyle name="Lien hypertexte visité" xfId="234" builtinId="9" hidden="1"/>
    <cellStyle name="Lien hypertexte visité" xfId="235" builtinId="9" hidden="1"/>
    <cellStyle name="Lien hypertexte visité" xfId="236" builtinId="9" hidden="1"/>
    <cellStyle name="Lien hypertexte visité" xfId="237" builtinId="9" hidden="1"/>
    <cellStyle name="Lien hypertexte visité" xfId="238" builtinId="9" hidden="1"/>
    <cellStyle name="Lien hypertexte visité" xfId="239" builtinId="9" hidden="1"/>
    <cellStyle name="Lien hypertexte visité" xfId="240" builtinId="9" hidden="1"/>
    <cellStyle name="Lien hypertexte visité" xfId="241" builtinId="9" hidden="1"/>
    <cellStyle name="Lien hypertexte visité" xfId="242" builtinId="9" hidden="1"/>
    <cellStyle name="Lien hypertexte visité" xfId="243" builtinId="9" hidden="1"/>
    <cellStyle name="Lien hypertexte visité" xfId="244" builtinId="9" hidden="1"/>
    <cellStyle name="Lien hypertexte visité" xfId="246" builtinId="9" hidden="1"/>
    <cellStyle name="Lien hypertexte visité" xfId="247" builtinId="9" hidden="1"/>
    <cellStyle name="Lien hypertexte visité" xfId="248" builtinId="9" hidden="1"/>
    <cellStyle name="Lien hypertexte visité" xfId="249" builtinId="9" hidden="1"/>
    <cellStyle name="Lien hypertexte visité" xfId="250" builtinId="9" hidden="1"/>
    <cellStyle name="Lien hypertexte visité" xfId="251" builtinId="9" hidden="1"/>
    <cellStyle name="Lien hypertexte visité" xfId="252" builtinId="9" hidden="1"/>
    <cellStyle name="Lien hypertexte visité" xfId="253" builtinId="9" hidden="1"/>
    <cellStyle name="Lien hypertexte visité" xfId="254" builtinId="9" hidden="1"/>
    <cellStyle name="Lien hypertexte visité" xfId="255" builtinId="9" hidden="1"/>
    <cellStyle name="Lien hypertexte visité" xfId="256" builtinId="9" hidden="1"/>
    <cellStyle name="Lien hypertexte visité" xfId="257" builtinId="9" hidden="1"/>
    <cellStyle name="Lien hypertexte visité" xfId="258" builtinId="9" hidden="1"/>
    <cellStyle name="Lien hypertexte visité" xfId="259" builtinId="9" hidden="1"/>
    <cellStyle name="Lien hypertexte visité" xfId="260" builtinId="9" hidden="1"/>
    <cellStyle name="Lien hypertexte visité" xfId="261" builtinId="9" hidden="1"/>
    <cellStyle name="Lien hypertexte visité" xfId="262" builtinId="9" hidden="1"/>
    <cellStyle name="Lien hypertexte visité" xfId="263" builtinId="9" hidden="1"/>
    <cellStyle name="Lien hypertexte visité" xfId="264" builtinId="9" hidden="1"/>
    <cellStyle name="Lien hypertexte visité" xfId="265" builtinId="9" hidden="1"/>
    <cellStyle name="Lien hypertexte visité" xfId="266" builtinId="9" hidden="1"/>
    <cellStyle name="Lien hypertexte visité" xfId="267" builtinId="9" hidden="1"/>
    <cellStyle name="Lien hypertexte visité" xfId="268" builtinId="9" hidden="1"/>
    <cellStyle name="Lien hypertexte visité" xfId="269" builtinId="9" hidden="1"/>
    <cellStyle name="Lien hypertexte visité" xfId="270" builtinId="9" hidden="1"/>
    <cellStyle name="Lien hypertexte visité" xfId="271" builtinId="9" hidden="1"/>
    <cellStyle name="Lien hypertexte visité" xfId="272" builtinId="9" hidden="1"/>
    <cellStyle name="Lien hypertexte visité" xfId="273" builtinId="9" hidden="1"/>
    <cellStyle name="Lien hypertexte visité" xfId="274" builtinId="9" hidden="1"/>
    <cellStyle name="Lien hypertexte visité" xfId="275" builtinId="9" hidden="1"/>
    <cellStyle name="Lien hypertexte visité" xfId="276" builtinId="9" hidden="1"/>
    <cellStyle name="Lien hypertexte visité" xfId="277" builtinId="9" hidden="1"/>
    <cellStyle name="Lien hypertexte visité" xfId="278" builtinId="9" hidden="1"/>
    <cellStyle name="Lien hypertexte visité" xfId="279" builtinId="9" hidden="1"/>
    <cellStyle name="Lien hypertexte visité" xfId="280" builtinId="9" hidden="1"/>
    <cellStyle name="Lien hypertexte visité" xfId="281" builtinId="9" hidden="1"/>
    <cellStyle name="Lien hypertexte visité" xfId="282" builtinId="9" hidden="1"/>
    <cellStyle name="Lien hypertexte visité" xfId="283" builtinId="9" hidden="1"/>
    <cellStyle name="Lien hypertexte visité" xfId="284" builtinId="9" hidden="1"/>
    <cellStyle name="Lien hypertexte visité" xfId="285" builtinId="9" hidden="1"/>
    <cellStyle name="Lien hypertexte visité" xfId="286" builtinId="9" hidden="1"/>
    <cellStyle name="Lien hypertexte visité" xfId="287" builtinId="9" hidden="1"/>
    <cellStyle name="Lien hypertexte visité" xfId="288" builtinId="9" hidden="1"/>
    <cellStyle name="Lien hypertexte visité" xfId="289" builtinId="9" hidden="1"/>
    <cellStyle name="Lien hypertexte visité" xfId="290" builtinId="9" hidden="1"/>
    <cellStyle name="Lien hypertexte visité" xfId="291" builtinId="9" hidden="1"/>
    <cellStyle name="Lien hypertexte visité" xfId="292" builtinId="9" hidden="1"/>
    <cellStyle name="Lien hypertexte visité" xfId="293" builtinId="9" hidden="1"/>
    <cellStyle name="Lien hypertexte visité" xfId="294" builtinId="9" hidden="1"/>
    <cellStyle name="Lien hypertexte visité" xfId="295" builtinId="9" hidden="1"/>
    <cellStyle name="Lien hypertexte visité" xfId="296" builtinId="9" hidden="1"/>
    <cellStyle name="Lien hypertexte visité" xfId="297" builtinId="9" hidden="1"/>
    <cellStyle name="Lien hypertexte visité" xfId="298" builtinId="9" hidden="1"/>
    <cellStyle name="Lien hypertexte visité" xfId="299" builtinId="9" hidden="1"/>
    <cellStyle name="Lien hypertexte visité" xfId="300" builtinId="9" hidden="1"/>
    <cellStyle name="Lien hypertexte visité" xfId="301" builtinId="9" hidden="1"/>
    <cellStyle name="Lien hypertexte visité" xfId="302" builtinId="9" hidden="1"/>
    <cellStyle name="Lien hypertexte visité" xfId="303" builtinId="9" hidden="1"/>
    <cellStyle name="Lien hypertexte visité" xfId="304" builtinId="9" hidden="1"/>
    <cellStyle name="Lien hypertexte visité" xfId="305" builtinId="9" hidden="1"/>
    <cellStyle name="Lien hypertexte visité" xfId="306" builtinId="9" hidden="1"/>
    <cellStyle name="Lien hypertexte visité" xfId="307" builtinId="9" hidden="1"/>
    <cellStyle name="Lien hypertexte visité" xfId="308" builtinId="9" hidden="1"/>
    <cellStyle name="Lien hypertexte visité" xfId="309" builtinId="9" hidden="1"/>
    <cellStyle name="Lien hypertexte visité" xfId="310" builtinId="9" hidden="1"/>
    <cellStyle name="Lien hypertexte visité" xfId="311" builtinId="9" hidden="1"/>
    <cellStyle name="Lien hypertexte visité" xfId="312" builtinId="9" hidden="1"/>
    <cellStyle name="Lien hypertexte visité" xfId="313" builtinId="9" hidden="1"/>
    <cellStyle name="Lien hypertexte visité" xfId="314" builtinId="9" hidden="1"/>
    <cellStyle name="Lien hypertexte visité" xfId="315" builtinId="9" hidden="1"/>
    <cellStyle name="Lien hypertexte visité" xfId="316" builtinId="9" hidden="1"/>
    <cellStyle name="Lien hypertexte visité" xfId="317" builtinId="9" hidden="1"/>
    <cellStyle name="Lien hypertexte visité" xfId="318" builtinId="9" hidden="1"/>
    <cellStyle name="Lien hypertexte visité" xfId="319" builtinId="9" hidden="1"/>
    <cellStyle name="Lien hypertexte visité" xfId="321" builtinId="9" hidden="1"/>
    <cellStyle name="Lien hypertexte visité" xfId="322" builtinId="9" hidden="1"/>
    <cellStyle name="Lien hypertexte visité" xfId="323" builtinId="9" hidden="1"/>
    <cellStyle name="Lien hypertexte visité" xfId="324" builtinId="9" hidden="1"/>
    <cellStyle name="Lien hypertexte visité" xfId="325" builtinId="9" hidden="1"/>
    <cellStyle name="Lien hypertexte visité" xfId="326" builtinId="9" hidden="1"/>
    <cellStyle name="Lien hypertexte visité" xfId="327" builtinId="9" hidden="1"/>
    <cellStyle name="Lien hypertexte visité" xfId="328" builtinId="9" hidden="1"/>
    <cellStyle name="Lien hypertexte visité" xfId="329" builtinId="9" hidden="1"/>
    <cellStyle name="Lien hypertexte visité" xfId="330" builtinId="9" hidden="1"/>
    <cellStyle name="Milliers" xfId="245" builtinId="3"/>
    <cellStyle name="Normal" xfId="0" builtinId="0"/>
    <cellStyle name="Normal 5" xfId="331" xr:uid="{9E4197BE-EF24-4933-B94F-6A96AA5A39B4}"/>
    <cellStyle name="Sortie" xfId="320" builtinId="21"/>
  </cellStyles>
  <dxfs count="17">
    <dxf>
      <font>
        <color auto="1"/>
      </font>
      <fill>
        <patternFill patternType="solid">
          <fgColor indexed="64"/>
          <bgColor rgb="FFFABF8F"/>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9" defaultPivotStyle="PivotStyleMedium4"/>
  <colors>
    <mruColors>
      <color rgb="FFA6A6A6"/>
      <color rgb="FFFABF8F"/>
      <color rgb="FFF7FAB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ta@eiti.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im.lourimi@moorestephens.com/elyes.kooli@moorestephens.com" TargetMode="External"/><Relationship Id="rId1" Type="http://schemas.openxmlformats.org/officeDocument/2006/relationships/hyperlink" Target="http://myanmareiti.org/my/other-report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mopf.gov.mm/en/content/budget-news" TargetMode="External"/><Relationship Id="rId1" Type="http://schemas.openxmlformats.org/officeDocument/2006/relationships/hyperlink" Target="https://opendevelopmentmyanmar.net/topics/extractive-industri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D48"/>
  <sheetViews>
    <sheetView showGridLines="0" workbookViewId="0"/>
  </sheetViews>
  <sheetFormatPr baseColWidth="10" defaultColWidth="3.5" defaultRowHeight="24" customHeight="1"/>
  <cols>
    <col min="1" max="1" width="3.5" style="8"/>
    <col min="2" max="2" width="30.375" style="8" customWidth="1"/>
    <col min="3" max="3" width="37.875" style="8" customWidth="1"/>
    <col min="4" max="4" width="85.875" style="8" customWidth="1"/>
    <col min="5" max="16384" width="3.5" style="8"/>
  </cols>
  <sheetData>
    <row r="1" spans="2:4" ht="15.95" customHeight="1"/>
    <row r="2" spans="2:4" ht="20.25">
      <c r="B2" s="202" t="s">
        <v>210</v>
      </c>
      <c r="C2" s="198"/>
      <c r="D2" s="198"/>
    </row>
    <row r="3" spans="2:4" ht="15.95" customHeight="1">
      <c r="B3" s="171" t="s">
        <v>321</v>
      </c>
      <c r="C3" s="171"/>
      <c r="D3" s="171"/>
    </row>
    <row r="4" spans="2:4" ht="15.95" customHeight="1">
      <c r="B4" s="169"/>
      <c r="C4" s="170"/>
      <c r="D4" s="170"/>
    </row>
    <row r="5" spans="2:4" ht="15.95" customHeight="1">
      <c r="B5" s="170" t="s">
        <v>322</v>
      </c>
      <c r="C5" s="170"/>
      <c r="D5" s="170"/>
    </row>
    <row r="6" spans="2:4" ht="15.95" customHeight="1">
      <c r="B6" s="203" t="s">
        <v>323</v>
      </c>
      <c r="C6" s="203"/>
      <c r="D6" s="203"/>
    </row>
    <row r="7" spans="2:4" ht="15.95" customHeight="1">
      <c r="B7" s="203"/>
      <c r="C7" s="203"/>
      <c r="D7" s="203"/>
    </row>
    <row r="8" spans="2:4" ht="15.95" customHeight="1">
      <c r="B8" s="197"/>
      <c r="C8" s="198"/>
      <c r="D8" s="198"/>
    </row>
    <row r="9" spans="2:4" ht="15.95" customHeight="1">
      <c r="B9" s="197" t="s">
        <v>325</v>
      </c>
      <c r="C9" s="198"/>
      <c r="D9" s="198"/>
    </row>
    <row r="10" spans="2:4" ht="15.95" customHeight="1">
      <c r="B10" s="197" t="s">
        <v>107</v>
      </c>
      <c r="C10" s="198"/>
      <c r="D10" s="198"/>
    </row>
    <row r="11" spans="2:4" ht="15.95" customHeight="1">
      <c r="B11" s="197"/>
      <c r="C11" s="198"/>
      <c r="D11" s="198"/>
    </row>
    <row r="12" spans="2:4" ht="15.95" customHeight="1">
      <c r="B12" s="197" t="s">
        <v>108</v>
      </c>
      <c r="C12" s="198"/>
      <c r="D12" s="198"/>
    </row>
    <row r="13" spans="2:4" ht="15.95" customHeight="1">
      <c r="B13" s="197" t="s">
        <v>209</v>
      </c>
      <c r="C13" s="198"/>
      <c r="D13" s="198"/>
    </row>
    <row r="14" spans="2:4" ht="15.95" customHeight="1">
      <c r="B14" s="197" t="s">
        <v>97</v>
      </c>
      <c r="C14" s="198"/>
      <c r="D14" s="198"/>
    </row>
    <row r="15" spans="2:4" ht="15.95" customHeight="1">
      <c r="B15" s="197" t="s">
        <v>324</v>
      </c>
      <c r="C15" s="198"/>
      <c r="D15" s="198"/>
    </row>
    <row r="16" spans="2:4" ht="15.95" customHeight="1">
      <c r="B16" s="197"/>
      <c r="C16" s="198"/>
      <c r="D16" s="198"/>
    </row>
    <row r="17" spans="2:4" ht="15.95" customHeight="1">
      <c r="B17" s="200" t="s">
        <v>98</v>
      </c>
      <c r="C17" s="201"/>
      <c r="D17" s="174"/>
    </row>
    <row r="18" spans="2:4" ht="15.95" customHeight="1">
      <c r="B18" s="199" t="s">
        <v>99</v>
      </c>
      <c r="C18" s="198"/>
      <c r="D18" s="174"/>
    </row>
    <row r="19" spans="2:4" ht="15.95" customHeight="1">
      <c r="B19" s="173"/>
      <c r="C19" s="173"/>
      <c r="D19" s="173"/>
    </row>
    <row r="20" spans="2:4" ht="15.95" customHeight="1">
      <c r="B20" s="172"/>
      <c r="C20" s="172"/>
      <c r="D20" s="172"/>
    </row>
    <row r="21" spans="2:4" ht="15.95" customHeight="1">
      <c r="B21" s="172" t="s">
        <v>265</v>
      </c>
      <c r="C21" s="172"/>
      <c r="D21" s="41" t="s">
        <v>292</v>
      </c>
    </row>
    <row r="22" spans="2:4" ht="15.95" customHeight="1">
      <c r="B22" s="9"/>
      <c r="C22" s="9"/>
      <c r="D22" s="9"/>
    </row>
    <row r="23" spans="2:4" ht="15.95" customHeight="1">
      <c r="B23" s="9"/>
      <c r="C23" s="9"/>
    </row>
    <row r="24" spans="2:4" ht="15.95" customHeight="1"/>
    <row r="25" spans="2:4" ht="12.75"/>
    <row r="26" spans="2:4" ht="12.75"/>
    <row r="27" spans="2:4" ht="12.75"/>
    <row r="28" spans="2:4" ht="12.75"/>
    <row r="29" spans="2:4" ht="12.75"/>
    <row r="30" spans="2:4" ht="12.75"/>
    <row r="31" spans="2:4" ht="12.75"/>
    <row r="32" spans="2:4" ht="12.75"/>
    <row r="33" ht="12.75"/>
    <row r="34" ht="12.75"/>
    <row r="35" ht="12.75"/>
    <row r="36" ht="12.75"/>
    <row r="37" ht="12.75"/>
    <row r="38" ht="12.75"/>
    <row r="39" ht="12.75"/>
    <row r="40" ht="12.75"/>
    <row r="41" ht="12.75"/>
    <row r="42" ht="12.75"/>
    <row r="43" ht="12.75"/>
    <row r="44" ht="12.75"/>
    <row r="45" ht="12.75"/>
    <row r="46" ht="12.75"/>
    <row r="47" ht="12.75"/>
    <row r="48" ht="12.75"/>
  </sheetData>
  <mergeCells count="13">
    <mergeCell ref="B11:D11"/>
    <mergeCell ref="B8:D8"/>
    <mergeCell ref="B18:C18"/>
    <mergeCell ref="B17:C17"/>
    <mergeCell ref="B2:D2"/>
    <mergeCell ref="B12:D12"/>
    <mergeCell ref="B13:D13"/>
    <mergeCell ref="B14:D14"/>
    <mergeCell ref="B15:D15"/>
    <mergeCell ref="B16:D16"/>
    <mergeCell ref="B6:D7"/>
    <mergeCell ref="B9:D9"/>
    <mergeCell ref="B10:D10"/>
  </mergeCells>
  <phoneticPr fontId="8" type="noConversion"/>
  <hyperlinks>
    <hyperlink ref="D21" r:id="rId1" xr:uid="{00000000-0004-0000-0000-000000000000}"/>
  </hyperlinks>
  <pageMargins left="0.75" right="0.75" top="1" bottom="1" header="0.5" footer="0.5"/>
  <pageSetup paperSize="9" scale="75" fitToHeight="0" orientation="landscape" horizontalDpi="2400" verticalDpi="24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37"/>
  <sheetViews>
    <sheetView showGridLines="0" topLeftCell="A24" workbookViewId="0">
      <selection activeCell="A42" sqref="A42"/>
    </sheetView>
  </sheetViews>
  <sheetFormatPr baseColWidth="10" defaultColWidth="3.5" defaultRowHeight="24" customHeight="1"/>
  <cols>
    <col min="1" max="1" width="3.5" style="46"/>
    <col min="2" max="2" width="53.375" style="46" customWidth="1"/>
    <col min="3" max="3" width="27" style="46" customWidth="1"/>
    <col min="4" max="4" width="35.375" style="46" bestFit="1" customWidth="1"/>
    <col min="5" max="5" width="38.375" style="46" customWidth="1"/>
    <col min="6" max="16384" width="3.5" style="46"/>
  </cols>
  <sheetData>
    <row r="1" spans="2:5" ht="15.95" customHeight="1"/>
    <row r="2" spans="2:5" ht="24.95" customHeight="1">
      <c r="B2" s="47" t="s">
        <v>208</v>
      </c>
    </row>
    <row r="3" spans="2:5" ht="15.95" customHeight="1">
      <c r="B3" s="48" t="s">
        <v>109</v>
      </c>
    </row>
    <row r="4" spans="2:5" ht="15.95" customHeight="1" thickBot="1">
      <c r="D4" s="10" t="s">
        <v>91</v>
      </c>
      <c r="E4" s="10" t="s">
        <v>261</v>
      </c>
    </row>
    <row r="5" spans="2:5" ht="15.95" customHeight="1" thickTop="1">
      <c r="B5" s="49" t="s">
        <v>101</v>
      </c>
      <c r="C5" s="49"/>
      <c r="D5" s="177" t="s">
        <v>326</v>
      </c>
      <c r="E5" s="40"/>
    </row>
    <row r="6" spans="2:5" ht="15.95" customHeight="1">
      <c r="B6" s="50" t="s">
        <v>102</v>
      </c>
      <c r="C6" s="49" t="s">
        <v>81</v>
      </c>
      <c r="D6" s="178">
        <v>42095</v>
      </c>
      <c r="E6" s="40"/>
    </row>
    <row r="7" spans="2:5" ht="15.95" customHeight="1">
      <c r="B7" s="51"/>
      <c r="C7" s="49" t="s">
        <v>82</v>
      </c>
      <c r="D7" s="178">
        <v>42460</v>
      </c>
      <c r="E7" s="40"/>
    </row>
    <row r="8" spans="2:5" ht="15.95" customHeight="1">
      <c r="B8" s="49" t="s">
        <v>103</v>
      </c>
      <c r="C8" s="52"/>
      <c r="D8" s="179" t="s">
        <v>327</v>
      </c>
      <c r="E8" s="40"/>
    </row>
    <row r="9" spans="2:5" ht="15.95" customHeight="1">
      <c r="B9" s="49" t="s">
        <v>104</v>
      </c>
      <c r="C9" s="49"/>
      <c r="D9" s="178">
        <v>43189</v>
      </c>
      <c r="E9" s="40"/>
    </row>
    <row r="10" spans="2:5" ht="15.95" customHeight="1">
      <c r="B10" s="50" t="s">
        <v>105</v>
      </c>
      <c r="C10" s="49" t="s">
        <v>83</v>
      </c>
      <c r="D10" s="119" t="s">
        <v>330</v>
      </c>
      <c r="E10" s="40"/>
    </row>
    <row r="11" spans="2:5" ht="15.95" customHeight="1">
      <c r="B11" s="53" t="s">
        <v>94</v>
      </c>
      <c r="C11" s="49" t="s">
        <v>84</v>
      </c>
      <c r="D11" s="119" t="s">
        <v>330</v>
      </c>
      <c r="E11" s="40"/>
    </row>
    <row r="12" spans="2:5" ht="15.95" customHeight="1">
      <c r="B12" s="54"/>
      <c r="C12" s="49" t="s">
        <v>85</v>
      </c>
      <c r="D12" s="119" t="s">
        <v>330</v>
      </c>
      <c r="E12" s="40"/>
    </row>
    <row r="13" spans="2:5" ht="25.5">
      <c r="B13" s="54"/>
      <c r="C13" s="49" t="s">
        <v>86</v>
      </c>
      <c r="D13" s="180" t="s">
        <v>328</v>
      </c>
      <c r="E13" s="40"/>
    </row>
    <row r="14" spans="2:5" ht="15.95" customHeight="1">
      <c r="B14" s="50" t="s">
        <v>106</v>
      </c>
      <c r="C14" s="50" t="s">
        <v>95</v>
      </c>
      <c r="D14" s="181" t="s">
        <v>329</v>
      </c>
      <c r="E14" s="40"/>
    </row>
    <row r="15" spans="2:5" ht="15.95" customHeight="1">
      <c r="B15" s="53" t="s">
        <v>96</v>
      </c>
      <c r="C15" s="49" t="s">
        <v>269</v>
      </c>
      <c r="D15" s="158" t="s">
        <v>87</v>
      </c>
      <c r="E15" s="40"/>
    </row>
    <row r="16" spans="2:5" ht="15.95" customHeight="1">
      <c r="B16" s="53"/>
      <c r="C16" s="49" t="s">
        <v>302</v>
      </c>
      <c r="D16" s="158" t="s">
        <v>87</v>
      </c>
      <c r="E16" s="40"/>
    </row>
    <row r="17" spans="2:5" ht="15.95" customHeight="1">
      <c r="C17" s="52" t="s">
        <v>88</v>
      </c>
      <c r="D17" s="120" t="s">
        <v>87</v>
      </c>
      <c r="E17" s="40"/>
    </row>
    <row r="18" spans="2:5" ht="15.95" customHeight="1">
      <c r="B18" s="49" t="s">
        <v>113</v>
      </c>
      <c r="C18" s="49"/>
      <c r="D18" s="121">
        <v>15</v>
      </c>
      <c r="E18" s="40"/>
    </row>
    <row r="19" spans="2:5" ht="15.95" customHeight="1">
      <c r="B19" s="49" t="s">
        <v>114</v>
      </c>
      <c r="C19" s="49"/>
      <c r="D19" s="121">
        <v>119</v>
      </c>
      <c r="E19" s="40"/>
    </row>
    <row r="20" spans="2:5" ht="15.95" customHeight="1">
      <c r="B20" s="50" t="s">
        <v>117</v>
      </c>
      <c r="C20" s="49" t="s">
        <v>212</v>
      </c>
      <c r="D20" s="178" t="s">
        <v>331</v>
      </c>
      <c r="E20" s="40"/>
    </row>
    <row r="21" spans="2:5" ht="15.95" customHeight="1">
      <c r="B21" s="51"/>
      <c r="C21" s="49" t="s">
        <v>289</v>
      </c>
      <c r="D21" s="178" t="s">
        <v>333</v>
      </c>
      <c r="E21" s="40"/>
    </row>
    <row r="22" spans="2:5" ht="15.95" customHeight="1">
      <c r="B22" s="50" t="s">
        <v>295</v>
      </c>
      <c r="C22" s="49" t="s">
        <v>89</v>
      </c>
      <c r="D22" s="119" t="s">
        <v>330</v>
      </c>
      <c r="E22" s="40"/>
    </row>
    <row r="23" spans="2:5" ht="15.95" customHeight="1">
      <c r="B23" s="53" t="s">
        <v>263</v>
      </c>
      <c r="C23" s="49" t="s">
        <v>90</v>
      </c>
      <c r="D23" s="119" t="s">
        <v>330</v>
      </c>
      <c r="E23" s="40"/>
    </row>
    <row r="24" spans="2:5" ht="15.95" customHeight="1">
      <c r="B24" s="54"/>
      <c r="C24" s="50" t="s">
        <v>100</v>
      </c>
      <c r="D24" s="119" t="s">
        <v>332</v>
      </c>
      <c r="E24" s="40"/>
    </row>
    <row r="25" spans="2:5" ht="15.95" customHeight="1">
      <c r="B25" s="50" t="s">
        <v>221</v>
      </c>
      <c r="C25" s="49" t="s">
        <v>218</v>
      </c>
      <c r="D25" s="122" t="s">
        <v>599</v>
      </c>
      <c r="E25" s="40"/>
    </row>
    <row r="26" spans="2:5" ht="15.95" customHeight="1">
      <c r="B26" s="54"/>
      <c r="C26" s="49" t="s">
        <v>220</v>
      </c>
      <c r="D26" s="179" t="s">
        <v>600</v>
      </c>
      <c r="E26" s="40"/>
    </row>
    <row r="27" spans="2:5" ht="15.95" customHeight="1" thickBot="1">
      <c r="B27" s="52"/>
      <c r="C27" s="49" t="s">
        <v>219</v>
      </c>
      <c r="D27" s="182" t="s">
        <v>601</v>
      </c>
      <c r="E27" s="40"/>
    </row>
    <row r="28" spans="2:5" ht="15.95" customHeight="1" thickTop="1">
      <c r="B28" s="54"/>
      <c r="C28" s="54"/>
      <c r="D28" s="55"/>
    </row>
    <row r="29" spans="2:5" ht="15.95" customHeight="1">
      <c r="B29" s="54"/>
      <c r="C29" s="54"/>
      <c r="D29" s="55"/>
    </row>
    <row r="30" spans="2:5" ht="15.95" customHeight="1"/>
    <row r="31" spans="2:5" ht="15.95" customHeight="1"/>
    <row r="32" spans="2:5" ht="15.95" customHeight="1"/>
    <row r="33" ht="15.95" customHeight="1"/>
    <row r="34" ht="15.95" customHeight="1"/>
    <row r="35" ht="15.95" customHeight="1"/>
    <row r="36" ht="15.95" customHeight="1"/>
    <row r="37" ht="15.95" customHeight="1"/>
  </sheetData>
  <dataValidations xWindow="955" yWindow="668" count="9">
    <dataValidation allowBlank="1" showInputMessage="1" showErrorMessage="1" promptTitle="EITI Report URL" prompt="Please insert direct URL to EITI Report (or report folder) on National EITI website." sqref="D14" xr:uid="{CB08C2C2-E6C2-4D90-AB1D-D0311257C828}"/>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D15" xr:uid="{00000000-0002-0000-0100-000007000000}"/>
    <dataValidation allowBlank="1" showInputMessage="1" showErrorMessage="1" promptTitle="Additional relevant files" prompt="If several files relevant to the report exist, please indicate as such here. If several, please copy this into several rows." sqref="D17" xr:uid="{00000000-0002-0000-0100-000008000000}"/>
    <dataValidation type="decimal" errorStyle="warning" allowBlank="1" showInputMessage="1" showErrorMessage="1" errorTitle="Non-number value detected" error="Only input numbers in this cell. If additional information is appropriate, please include in appropriate columns on the right." promptTitle="Reporting government entities" prompt="Please input how many government entities reported on revenues received" sqref="D18" xr:uid="{6413B46C-8FAA-4282-8ECE-94DE70AF1694}">
      <formula1>0</formula1>
      <formula2>9999999999999990000</formula2>
    </dataValidation>
    <dataValidation type="decimal" errorStyle="warning" allowBlank="1" showInputMessage="1" showErrorMessage="1" errorTitle="Non-number value detected" error="Only input numbers in this cell. If additional information is appropriate, please include in appropriate columns on the right." promptTitle="Reporting companies" prompt="Please input the number of companies reporting on payments to the government" sqref="D19" xr:uid="{00000000-0002-0000-0100-00000A000000}">
      <formula1>0</formula1>
      <formula2>9999999999999990000</formula2>
    </dataValidation>
    <dataValidation allowBlank="1" showInputMessage="1" showErrorMessage="1" promptTitle="Open data policy" prompt="Please insert direct URL to Open data policy on National EITI website." sqref="D16" xr:uid="{00000000-0002-0000-0100-00000B000000}"/>
    <dataValidation type="list" showInputMessage="1" showErrorMessage="1" errorTitle="Invalid entry" error="_x000a_Please choose among the following:_x000a__x000a_Yes_x000a_No_x000a_Not applicable" promptTitle="Choose among the following" prompt="_x000a_Yes_x000a_No_x000a_Not applicable" sqref="D10:D12 D22:D24" xr:uid="{00000000-0002-0000-0100-00000C000000}">
      <formula1>"Yes,No,Not applicable,&lt;choose option&gt;"</formula1>
    </dataValidation>
    <dataValidation type="list" showDropDown="1" showInputMessage="1" showErrorMessage="1" errorTitle="Please do not edit these cells" error="Please do not edit these cells" sqref="C1:C12 C14:C16 A1:B29 C18:C29 D28:E30 D1:E4" xr:uid="{00000000-0002-0000-0100-00000D000000}">
      <formula1>"#ERROR!"</formula1>
    </dataValidation>
    <dataValidation allowBlank="1" sqref="D6:D7 D9 D20:D21" xr:uid="{0B1B4023-B738-4CEC-863C-148F23A3497D}"/>
  </dataValidations>
  <hyperlinks>
    <hyperlink ref="D14" r:id="rId1" xr:uid="{0CCECB99-26E1-4323-B4D1-3A790D18132F}"/>
    <hyperlink ref="D27" r:id="rId2" xr:uid="{A50BD666-5990-4F30-8F42-5A719016BE6F}"/>
  </hyperlinks>
  <pageMargins left="0.75" right="0.75" top="1" bottom="1" header="0.5" footer="0.5"/>
  <pageSetup paperSize="9" scale="66" orientation="landscape" horizontalDpi="2400" verticalDpi="240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H138"/>
  <sheetViews>
    <sheetView showGridLines="0" topLeftCell="C100" zoomScale="115" zoomScaleNormal="115" workbookViewId="0">
      <selection activeCell="D108" sqref="D108:E108"/>
    </sheetView>
  </sheetViews>
  <sheetFormatPr baseColWidth="10" defaultColWidth="3.5" defaultRowHeight="24" customHeight="1"/>
  <cols>
    <col min="1" max="1" width="3.5" style="46"/>
    <col min="2" max="2" width="53.5" style="46" customWidth="1"/>
    <col min="3" max="3" width="52.5" style="46" bestFit="1" customWidth="1"/>
    <col min="4" max="4" width="26.25" style="46" customWidth="1"/>
    <col min="5" max="5" width="15.125" style="46" bestFit="1" customWidth="1"/>
    <col min="6" max="6" width="32.875" style="46" bestFit="1" customWidth="1"/>
    <col min="7" max="7" width="32.125" style="46" customWidth="1"/>
    <col min="8" max="8" width="46.5" style="46" customWidth="1"/>
    <col min="9" max="16384" width="3.5" style="46"/>
  </cols>
  <sheetData>
    <row r="1" spans="2:8" ht="15.95" customHeight="1"/>
    <row r="2" spans="2:8" ht="24.95" customHeight="1">
      <c r="B2" s="47" t="s">
        <v>92</v>
      </c>
      <c r="C2" s="7"/>
      <c r="E2" s="10"/>
    </row>
    <row r="3" spans="2:8" ht="15.95" customHeight="1">
      <c r="B3" s="56"/>
      <c r="E3" s="10"/>
    </row>
    <row r="4" spans="2:8" ht="15" customHeight="1" thickBot="1">
      <c r="D4" s="10" t="s">
        <v>91</v>
      </c>
      <c r="E4" s="10" t="s">
        <v>222</v>
      </c>
      <c r="F4" s="11" t="s">
        <v>262</v>
      </c>
      <c r="G4" s="10" t="s">
        <v>261</v>
      </c>
      <c r="H4" s="38"/>
    </row>
    <row r="5" spans="2:8" ht="16.5" customHeight="1" thickBot="1">
      <c r="B5" s="50" t="s">
        <v>307</v>
      </c>
      <c r="C5" s="49" t="s">
        <v>276</v>
      </c>
      <c r="D5" s="117">
        <v>4447498</v>
      </c>
      <c r="E5" s="139" t="s">
        <v>334</v>
      </c>
      <c r="F5" s="57" t="s">
        <v>335</v>
      </c>
      <c r="G5" s="40"/>
    </row>
    <row r="6" spans="2:8" ht="16.5" customHeight="1">
      <c r="B6" s="58" t="s">
        <v>223</v>
      </c>
      <c r="C6" s="49" t="s">
        <v>273</v>
      </c>
      <c r="D6" s="118">
        <v>72714021.200000003</v>
      </c>
      <c r="E6" s="139" t="s">
        <v>334</v>
      </c>
      <c r="F6" s="59" t="s">
        <v>335</v>
      </c>
      <c r="G6" s="40"/>
    </row>
    <row r="7" spans="2:8" ht="16.5" customHeight="1">
      <c r="C7" s="60" t="s">
        <v>274</v>
      </c>
      <c r="D7" s="118">
        <v>3404469</v>
      </c>
      <c r="E7" s="140" t="s">
        <v>334</v>
      </c>
      <c r="F7" s="59" t="s">
        <v>335</v>
      </c>
      <c r="G7" s="40"/>
    </row>
    <row r="8" spans="2:8" ht="16.5" customHeight="1">
      <c r="B8" s="54"/>
      <c r="C8" s="49" t="s">
        <v>275</v>
      </c>
      <c r="D8" s="118">
        <v>17000051</v>
      </c>
      <c r="E8" s="140" t="s">
        <v>334</v>
      </c>
      <c r="F8" s="59" t="s">
        <v>335</v>
      </c>
      <c r="G8" s="40"/>
    </row>
    <row r="9" spans="2:8" ht="16.5" customHeight="1">
      <c r="B9" s="54"/>
      <c r="C9" s="49" t="s">
        <v>277</v>
      </c>
      <c r="D9" s="118">
        <v>6489880</v>
      </c>
      <c r="E9" s="140" t="s">
        <v>334</v>
      </c>
      <c r="F9" s="59" t="s">
        <v>335</v>
      </c>
      <c r="G9" s="40"/>
    </row>
    <row r="10" spans="2:8" ht="16.5" customHeight="1">
      <c r="B10" s="54"/>
      <c r="C10" s="49" t="s">
        <v>278</v>
      </c>
      <c r="D10" s="118">
        <v>13626811</v>
      </c>
      <c r="E10" s="140" t="s">
        <v>334</v>
      </c>
      <c r="F10" s="59" t="s">
        <v>335</v>
      </c>
      <c r="G10" s="40"/>
    </row>
    <row r="11" spans="2:8" ht="15.95" customHeight="1">
      <c r="B11" s="50" t="s">
        <v>308</v>
      </c>
      <c r="C11" s="49" t="s">
        <v>224</v>
      </c>
      <c r="D11" s="118">
        <v>1506345</v>
      </c>
      <c r="E11" s="175" t="s">
        <v>336</v>
      </c>
      <c r="F11" s="59" t="s">
        <v>337</v>
      </c>
      <c r="G11" s="40"/>
    </row>
    <row r="12" spans="2:8" ht="15.95" customHeight="1">
      <c r="B12" s="58" t="s">
        <v>223</v>
      </c>
      <c r="C12" s="49" t="s">
        <v>296</v>
      </c>
      <c r="D12" s="118">
        <v>96506</v>
      </c>
      <c r="E12" s="140" t="s">
        <v>334</v>
      </c>
      <c r="F12" s="59" t="s">
        <v>337</v>
      </c>
      <c r="G12" s="40"/>
    </row>
    <row r="13" spans="2:8" ht="15.95" customHeight="1">
      <c r="B13" s="61"/>
      <c r="C13" s="49" t="s">
        <v>225</v>
      </c>
      <c r="D13" s="118">
        <v>19189496439</v>
      </c>
      <c r="E13" s="140" t="s">
        <v>602</v>
      </c>
      <c r="F13" s="59" t="s">
        <v>337</v>
      </c>
      <c r="G13" s="40"/>
    </row>
    <row r="14" spans="2:8" ht="15.95" customHeight="1">
      <c r="B14" s="61"/>
      <c r="C14" s="49" t="s">
        <v>297</v>
      </c>
      <c r="D14" s="118">
        <f>5789256+6100</f>
        <v>5795356</v>
      </c>
      <c r="E14" s="140" t="s">
        <v>334</v>
      </c>
      <c r="F14" s="59" t="s">
        <v>337</v>
      </c>
      <c r="G14" s="40"/>
    </row>
    <row r="15" spans="2:8" ht="15.95" customHeight="1">
      <c r="B15" s="61"/>
      <c r="C15" s="49" t="s">
        <v>339</v>
      </c>
      <c r="D15" s="118">
        <v>2003419</v>
      </c>
      <c r="E15" s="175" t="s">
        <v>336</v>
      </c>
      <c r="F15" s="59" t="s">
        <v>337</v>
      </c>
      <c r="G15" s="40"/>
    </row>
    <row r="16" spans="2:8" ht="15.95" customHeight="1">
      <c r="B16"/>
      <c r="C16" s="49" t="s">
        <v>340</v>
      </c>
      <c r="D16" s="118">
        <v>112579</v>
      </c>
      <c r="E16" s="140" t="s">
        <v>334</v>
      </c>
      <c r="F16" s="59" t="s">
        <v>337</v>
      </c>
      <c r="G16" s="40"/>
    </row>
    <row r="17" spans="2:7" ht="15.95" customHeight="1">
      <c r="B17"/>
      <c r="C17" s="49" t="s">
        <v>341</v>
      </c>
      <c r="D17" s="118">
        <f>765259+10810781+58300+1849042</f>
        <v>13483382</v>
      </c>
      <c r="E17" s="175" t="s">
        <v>342</v>
      </c>
      <c r="F17" s="183" t="s">
        <v>343</v>
      </c>
      <c r="G17" s="40"/>
    </row>
    <row r="18" spans="2:7" ht="15.95" customHeight="1">
      <c r="B18"/>
      <c r="C18" s="49" t="s">
        <v>344</v>
      </c>
      <c r="D18" s="118">
        <f>144.95+870.86+2.91+96.9</f>
        <v>1115.6199999999999</v>
      </c>
      <c r="E18" s="140" t="s">
        <v>334</v>
      </c>
      <c r="F18" s="183" t="s">
        <v>343</v>
      </c>
      <c r="G18" s="40"/>
    </row>
    <row r="19" spans="2:7" ht="15.95" customHeight="1">
      <c r="B19"/>
      <c r="C19" s="49" t="s">
        <v>345</v>
      </c>
      <c r="D19" s="118">
        <v>71</v>
      </c>
      <c r="E19" s="175" t="s">
        <v>346</v>
      </c>
      <c r="F19" s="183" t="s">
        <v>343</v>
      </c>
      <c r="G19" s="40"/>
    </row>
    <row r="20" spans="2:7" ht="15.95" customHeight="1">
      <c r="B20"/>
      <c r="C20" s="49" t="s">
        <v>347</v>
      </c>
      <c r="D20" s="118">
        <v>0.6</v>
      </c>
      <c r="E20" s="140" t="s">
        <v>334</v>
      </c>
      <c r="F20" s="183" t="s">
        <v>343</v>
      </c>
      <c r="G20" s="40"/>
    </row>
    <row r="21" spans="2:7" ht="15.95" customHeight="1">
      <c r="B21"/>
      <c r="C21" s="49" t="s">
        <v>348</v>
      </c>
      <c r="D21" s="118">
        <f>17258772+80319+17425166+343905+944343+6682</f>
        <v>36059187</v>
      </c>
      <c r="E21" s="175" t="s">
        <v>346</v>
      </c>
      <c r="F21" s="183" t="s">
        <v>343</v>
      </c>
      <c r="G21" s="40"/>
    </row>
    <row r="22" spans="2:7" ht="15.95" customHeight="1">
      <c r="B22" s="61"/>
      <c r="C22" s="49" t="s">
        <v>349</v>
      </c>
      <c r="D22" s="118">
        <f>40831.87+44190.69</f>
        <v>85022.56</v>
      </c>
      <c r="E22" s="140" t="s">
        <v>334</v>
      </c>
      <c r="F22" s="183" t="s">
        <v>343</v>
      </c>
      <c r="G22" s="40"/>
    </row>
    <row r="23" spans="2:7" ht="15.95" customHeight="1">
      <c r="B23" s="61"/>
      <c r="C23" s="49" t="s">
        <v>350</v>
      </c>
      <c r="D23" s="118">
        <v>17463</v>
      </c>
      <c r="E23" s="175" t="s">
        <v>298</v>
      </c>
      <c r="F23" s="183" t="s">
        <v>343</v>
      </c>
      <c r="G23" s="40"/>
    </row>
    <row r="24" spans="2:7" ht="15.95" customHeight="1">
      <c r="B24" s="61"/>
      <c r="C24" s="49" t="s">
        <v>351</v>
      </c>
      <c r="D24" s="118">
        <v>1048</v>
      </c>
      <c r="E24" s="140" t="s">
        <v>334</v>
      </c>
      <c r="F24" s="183" t="s">
        <v>343</v>
      </c>
      <c r="G24" s="40"/>
    </row>
    <row r="25" spans="2:7" ht="15.95" customHeight="1">
      <c r="B25" s="61"/>
      <c r="C25" s="49" t="s">
        <v>352</v>
      </c>
      <c r="D25" s="118">
        <v>4319</v>
      </c>
      <c r="E25" s="175" t="s">
        <v>298</v>
      </c>
      <c r="F25" s="183" t="s">
        <v>343</v>
      </c>
      <c r="G25" s="40"/>
    </row>
    <row r="26" spans="2:7" ht="15.95" customHeight="1">
      <c r="B26" s="61"/>
      <c r="C26" s="49" t="s">
        <v>353</v>
      </c>
      <c r="D26" s="118">
        <v>586</v>
      </c>
      <c r="E26" s="140" t="s">
        <v>334</v>
      </c>
      <c r="F26" s="183" t="s">
        <v>343</v>
      </c>
      <c r="G26" s="40"/>
    </row>
    <row r="27" spans="2:7" ht="15.95" customHeight="1">
      <c r="B27" s="61"/>
      <c r="C27" s="49" t="s">
        <v>354</v>
      </c>
      <c r="D27" s="118">
        <v>31025</v>
      </c>
      <c r="E27" s="175" t="s">
        <v>298</v>
      </c>
      <c r="F27" s="183" t="s">
        <v>343</v>
      </c>
      <c r="G27" s="40"/>
    </row>
    <row r="28" spans="2:7" ht="15.95" customHeight="1">
      <c r="B28" s="61"/>
      <c r="C28" s="49" t="s">
        <v>355</v>
      </c>
      <c r="D28" s="118">
        <v>2483</v>
      </c>
      <c r="E28" s="140" t="s">
        <v>334</v>
      </c>
      <c r="F28" s="183" t="s">
        <v>343</v>
      </c>
      <c r="G28" s="40"/>
    </row>
    <row r="29" spans="2:7" ht="15.95" customHeight="1">
      <c r="B29" s="61"/>
      <c r="C29" s="49" t="s">
        <v>356</v>
      </c>
      <c r="D29" s="118">
        <v>6015</v>
      </c>
      <c r="E29" s="175" t="s">
        <v>298</v>
      </c>
      <c r="F29" s="183" t="s">
        <v>343</v>
      </c>
      <c r="G29" s="40"/>
    </row>
    <row r="30" spans="2:7" ht="15.95" customHeight="1">
      <c r="B30" s="61"/>
      <c r="C30" s="49" t="s">
        <v>357</v>
      </c>
      <c r="D30" s="118">
        <v>301</v>
      </c>
      <c r="E30" s="140" t="s">
        <v>334</v>
      </c>
      <c r="F30" s="183" t="s">
        <v>343</v>
      </c>
      <c r="G30" s="40"/>
    </row>
    <row r="31" spans="2:7" ht="15.95" customHeight="1">
      <c r="B31" s="61"/>
      <c r="C31" s="49" t="s">
        <v>358</v>
      </c>
      <c r="D31" s="118">
        <v>1286</v>
      </c>
      <c r="E31" s="175" t="s">
        <v>298</v>
      </c>
      <c r="F31" s="183" t="s">
        <v>343</v>
      </c>
      <c r="G31" s="40"/>
    </row>
    <row r="32" spans="2:7" ht="15.95" customHeight="1">
      <c r="B32" s="61"/>
      <c r="C32" s="49" t="s">
        <v>359</v>
      </c>
      <c r="D32" s="118">
        <v>90</v>
      </c>
      <c r="E32" s="140" t="s">
        <v>334</v>
      </c>
      <c r="F32" s="183" t="s">
        <v>343</v>
      </c>
      <c r="G32" s="40"/>
    </row>
    <row r="33" spans="2:7" ht="15.95" customHeight="1">
      <c r="B33" s="61"/>
      <c r="C33" s="49" t="s">
        <v>360</v>
      </c>
      <c r="D33" s="118">
        <v>5777</v>
      </c>
      <c r="E33" s="175" t="s">
        <v>298</v>
      </c>
      <c r="F33" s="183" t="s">
        <v>343</v>
      </c>
      <c r="G33" s="40"/>
    </row>
    <row r="34" spans="2:7" ht="15.95" customHeight="1">
      <c r="B34" s="61"/>
      <c r="C34" s="49" t="s">
        <v>361</v>
      </c>
      <c r="D34" s="118">
        <v>2021</v>
      </c>
      <c r="E34" s="140" t="s">
        <v>334</v>
      </c>
      <c r="F34" s="183" t="s">
        <v>343</v>
      </c>
      <c r="G34" s="40"/>
    </row>
    <row r="35" spans="2:7" ht="15.95" customHeight="1">
      <c r="B35" s="61"/>
      <c r="C35" s="49" t="s">
        <v>362</v>
      </c>
      <c r="D35" s="118">
        <v>760</v>
      </c>
      <c r="E35" s="175" t="s">
        <v>298</v>
      </c>
      <c r="F35" s="183" t="s">
        <v>343</v>
      </c>
      <c r="G35" s="40"/>
    </row>
    <row r="36" spans="2:7" ht="15.95" customHeight="1">
      <c r="B36" s="61"/>
      <c r="C36" s="49" t="s">
        <v>363</v>
      </c>
      <c r="D36" s="118">
        <v>380</v>
      </c>
      <c r="E36" s="140" t="s">
        <v>334</v>
      </c>
      <c r="F36" s="183" t="s">
        <v>343</v>
      </c>
      <c r="G36" s="40"/>
    </row>
    <row r="37" spans="2:7" ht="15.95" customHeight="1">
      <c r="B37" s="61"/>
      <c r="C37" s="49" t="s">
        <v>364</v>
      </c>
      <c r="D37" s="118">
        <v>757</v>
      </c>
      <c r="E37" s="175" t="s">
        <v>298</v>
      </c>
      <c r="F37" s="183" t="s">
        <v>343</v>
      </c>
      <c r="G37" s="40"/>
    </row>
    <row r="38" spans="2:7" ht="15.95" customHeight="1">
      <c r="B38" s="61"/>
      <c r="C38" s="49" t="s">
        <v>365</v>
      </c>
      <c r="D38" s="118">
        <v>114</v>
      </c>
      <c r="E38" s="140" t="s">
        <v>334</v>
      </c>
      <c r="F38" s="183" t="s">
        <v>343</v>
      </c>
      <c r="G38" s="40"/>
    </row>
    <row r="39" spans="2:7" ht="15.95" customHeight="1">
      <c r="B39" s="61"/>
      <c r="C39" s="49" t="s">
        <v>366</v>
      </c>
      <c r="D39" s="118">
        <v>1200</v>
      </c>
      <c r="E39" s="175" t="s">
        <v>298</v>
      </c>
      <c r="F39" s="183" t="s">
        <v>343</v>
      </c>
      <c r="G39" s="40"/>
    </row>
    <row r="40" spans="2:7" ht="15.95" customHeight="1">
      <c r="B40" s="61"/>
      <c r="C40" s="49" t="s">
        <v>367</v>
      </c>
      <c r="D40" s="118">
        <v>90</v>
      </c>
      <c r="E40" s="140" t="s">
        <v>334</v>
      </c>
      <c r="F40" s="183" t="s">
        <v>343</v>
      </c>
      <c r="G40" s="40"/>
    </row>
    <row r="41" spans="2:7" ht="15.95" customHeight="1">
      <c r="B41" s="61"/>
      <c r="C41" s="49" t="s">
        <v>368</v>
      </c>
      <c r="D41" s="118">
        <v>451</v>
      </c>
      <c r="E41" s="175" t="s">
        <v>298</v>
      </c>
      <c r="F41" s="183" t="s">
        <v>343</v>
      </c>
      <c r="G41" s="40"/>
    </row>
    <row r="42" spans="2:7" ht="15.95" customHeight="1">
      <c r="B42" s="61"/>
      <c r="C42" s="49" t="s">
        <v>369</v>
      </c>
      <c r="D42" s="118">
        <v>3074</v>
      </c>
      <c r="E42" s="140" t="s">
        <v>334</v>
      </c>
      <c r="F42" s="183" t="s">
        <v>343</v>
      </c>
      <c r="G42" s="40"/>
    </row>
    <row r="43" spans="2:7" ht="15.95" customHeight="1">
      <c r="B43" s="61"/>
      <c r="C43" s="49" t="s">
        <v>370</v>
      </c>
      <c r="D43" s="118">
        <v>10</v>
      </c>
      <c r="E43" s="175" t="s">
        <v>298</v>
      </c>
      <c r="F43" s="183" t="s">
        <v>343</v>
      </c>
      <c r="G43" s="40"/>
    </row>
    <row r="44" spans="2:7" ht="15.95" customHeight="1">
      <c r="B44" s="61"/>
      <c r="C44" s="49" t="s">
        <v>371</v>
      </c>
      <c r="D44" s="118">
        <v>142</v>
      </c>
      <c r="E44" s="140" t="s">
        <v>334</v>
      </c>
      <c r="F44" s="183" t="s">
        <v>343</v>
      </c>
      <c r="G44" s="40"/>
    </row>
    <row r="45" spans="2:7" ht="15.95" customHeight="1">
      <c r="B45" s="61"/>
      <c r="C45" s="49" t="s">
        <v>372</v>
      </c>
      <c r="D45" s="118">
        <v>385</v>
      </c>
      <c r="E45" s="175" t="s">
        <v>298</v>
      </c>
      <c r="F45" s="183" t="s">
        <v>343</v>
      </c>
      <c r="G45" s="40"/>
    </row>
    <row r="46" spans="2:7" ht="15.95" customHeight="1">
      <c r="B46" s="61"/>
      <c r="C46" s="49" t="s">
        <v>373</v>
      </c>
      <c r="D46" s="118">
        <v>2784</v>
      </c>
      <c r="E46" s="140" t="s">
        <v>334</v>
      </c>
      <c r="F46" s="183" t="s">
        <v>343</v>
      </c>
      <c r="G46" s="40"/>
    </row>
    <row r="47" spans="2:7" ht="15.95" customHeight="1">
      <c r="B47" s="61"/>
      <c r="C47" s="49" t="s">
        <v>374</v>
      </c>
      <c r="D47" s="118">
        <v>242</v>
      </c>
      <c r="E47" s="175" t="s">
        <v>298</v>
      </c>
      <c r="F47" s="183" t="s">
        <v>343</v>
      </c>
      <c r="G47" s="40"/>
    </row>
    <row r="48" spans="2:7" ht="15.95" customHeight="1">
      <c r="B48" s="61"/>
      <c r="C48" s="49" t="s">
        <v>375</v>
      </c>
      <c r="D48" s="118">
        <v>1785</v>
      </c>
      <c r="E48" s="140" t="s">
        <v>334</v>
      </c>
      <c r="F48" s="183" t="s">
        <v>343</v>
      </c>
      <c r="G48" s="40"/>
    </row>
    <row r="49" spans="2:7" ht="15.95" customHeight="1">
      <c r="B49" s="61"/>
      <c r="C49" s="49" t="s">
        <v>376</v>
      </c>
      <c r="D49" s="118">
        <v>54400</v>
      </c>
      <c r="E49" s="175" t="s">
        <v>377</v>
      </c>
      <c r="F49" s="183" t="s">
        <v>343</v>
      </c>
      <c r="G49" s="40"/>
    </row>
    <row r="50" spans="2:7" ht="15.95" customHeight="1">
      <c r="B50" s="61"/>
      <c r="C50" s="49" t="s">
        <v>378</v>
      </c>
      <c r="D50" s="118">
        <v>77661</v>
      </c>
      <c r="E50" s="140" t="s">
        <v>334</v>
      </c>
      <c r="F50" s="183" t="s">
        <v>343</v>
      </c>
      <c r="G50" s="40"/>
    </row>
    <row r="51" spans="2:7" ht="15.95" customHeight="1">
      <c r="B51" s="61"/>
      <c r="C51" s="49" t="s">
        <v>379</v>
      </c>
      <c r="D51" s="118">
        <v>419862</v>
      </c>
      <c r="E51" s="175" t="s">
        <v>298</v>
      </c>
      <c r="F51" s="183" t="s">
        <v>343</v>
      </c>
      <c r="G51" s="40"/>
    </row>
    <row r="52" spans="2:7" ht="15.95" customHeight="1">
      <c r="B52" s="61"/>
      <c r="C52" s="49" t="s">
        <v>380</v>
      </c>
      <c r="D52" s="118">
        <v>41989</v>
      </c>
      <c r="E52" s="140" t="s">
        <v>334</v>
      </c>
      <c r="F52" s="183" t="s">
        <v>343</v>
      </c>
      <c r="G52" s="40"/>
    </row>
    <row r="53" spans="2:7" ht="15.95" customHeight="1">
      <c r="B53" s="61"/>
      <c r="C53" s="49" t="s">
        <v>381</v>
      </c>
      <c r="D53" s="118">
        <v>3427909</v>
      </c>
      <c r="E53" s="175" t="s">
        <v>298</v>
      </c>
      <c r="F53" s="183" t="s">
        <v>343</v>
      </c>
      <c r="G53" s="40"/>
    </row>
    <row r="54" spans="2:7" ht="15.95" customHeight="1">
      <c r="B54" s="61"/>
      <c r="C54" s="49" t="s">
        <v>382</v>
      </c>
      <c r="D54" s="118">
        <v>4144</v>
      </c>
      <c r="E54" s="140" t="s">
        <v>334</v>
      </c>
      <c r="F54" s="183" t="s">
        <v>343</v>
      </c>
      <c r="G54" s="40"/>
    </row>
    <row r="55" spans="2:7" ht="15.95" customHeight="1">
      <c r="B55" s="61"/>
      <c r="C55" s="49" t="s">
        <v>383</v>
      </c>
      <c r="D55" s="118">
        <v>4722</v>
      </c>
      <c r="E55" s="175" t="s">
        <v>298</v>
      </c>
      <c r="F55" s="183" t="s">
        <v>343</v>
      </c>
      <c r="G55" s="40"/>
    </row>
    <row r="56" spans="2:7" ht="15.95" customHeight="1">
      <c r="B56" s="61"/>
      <c r="C56" s="49" t="s">
        <v>384</v>
      </c>
      <c r="D56" s="118">
        <v>246</v>
      </c>
      <c r="E56" s="140" t="s">
        <v>334</v>
      </c>
      <c r="F56" s="183" t="s">
        <v>343</v>
      </c>
      <c r="G56" s="40"/>
    </row>
    <row r="57" spans="2:7" ht="15.95" customHeight="1">
      <c r="B57" s="61"/>
      <c r="C57" s="49" t="s">
        <v>385</v>
      </c>
      <c r="D57" s="118">
        <v>5760</v>
      </c>
      <c r="E57" s="175" t="s">
        <v>298</v>
      </c>
      <c r="F57" s="183" t="s">
        <v>343</v>
      </c>
      <c r="G57" s="40"/>
    </row>
    <row r="58" spans="2:7" ht="15.95" customHeight="1">
      <c r="B58" s="61"/>
      <c r="C58" s="49" t="s">
        <v>386</v>
      </c>
      <c r="D58" s="118">
        <v>458</v>
      </c>
      <c r="E58" s="140" t="s">
        <v>334</v>
      </c>
      <c r="F58" s="183" t="s">
        <v>343</v>
      </c>
      <c r="G58" s="40"/>
    </row>
    <row r="59" spans="2:7" ht="15.95" customHeight="1">
      <c r="B59" s="61"/>
      <c r="C59" s="49" t="s">
        <v>387</v>
      </c>
      <c r="D59" s="118">
        <v>200</v>
      </c>
      <c r="E59" s="175" t="s">
        <v>298</v>
      </c>
      <c r="F59" s="183" t="s">
        <v>343</v>
      </c>
      <c r="G59" s="40"/>
    </row>
    <row r="60" spans="2:7" ht="15.95" customHeight="1">
      <c r="B60" s="61"/>
      <c r="C60" s="49" t="s">
        <v>388</v>
      </c>
      <c r="D60" s="118">
        <v>3</v>
      </c>
      <c r="E60" s="140" t="s">
        <v>334</v>
      </c>
      <c r="F60" s="183" t="s">
        <v>343</v>
      </c>
      <c r="G60" s="40"/>
    </row>
    <row r="61" spans="2:7" ht="15.95" customHeight="1">
      <c r="B61" s="61"/>
      <c r="C61" s="49" t="s">
        <v>389</v>
      </c>
      <c r="D61" s="118">
        <v>99859</v>
      </c>
      <c r="E61" s="175" t="s">
        <v>298</v>
      </c>
      <c r="F61" s="183" t="s">
        <v>343</v>
      </c>
      <c r="G61" s="40"/>
    </row>
    <row r="62" spans="2:7" ht="15.95" customHeight="1">
      <c r="B62" s="61"/>
      <c r="C62" s="49" t="s">
        <v>390</v>
      </c>
      <c r="D62" s="118">
        <v>1198</v>
      </c>
      <c r="E62" s="140" t="s">
        <v>334</v>
      </c>
      <c r="F62" s="183" t="s">
        <v>343</v>
      </c>
      <c r="G62" s="40"/>
    </row>
    <row r="63" spans="2:7" ht="15.95" customHeight="1">
      <c r="B63" s="61"/>
      <c r="C63" s="49" t="s">
        <v>406</v>
      </c>
      <c r="D63" s="118">
        <v>2715</v>
      </c>
      <c r="E63" s="175" t="s">
        <v>298</v>
      </c>
      <c r="F63" s="183" t="s">
        <v>343</v>
      </c>
      <c r="G63" s="40"/>
    </row>
    <row r="64" spans="2:7" ht="15.95" customHeight="1">
      <c r="B64" s="61"/>
      <c r="C64" s="49" t="s">
        <v>407</v>
      </c>
      <c r="D64" s="118">
        <v>18</v>
      </c>
      <c r="E64" s="140" t="s">
        <v>334</v>
      </c>
      <c r="F64" s="183" t="s">
        <v>343</v>
      </c>
      <c r="G64" s="40"/>
    </row>
    <row r="65" spans="2:7" ht="15.95" customHeight="1">
      <c r="B65" s="61"/>
      <c r="C65" s="49" t="s">
        <v>391</v>
      </c>
      <c r="D65" s="118">
        <v>7968</v>
      </c>
      <c r="E65" s="175" t="s">
        <v>298</v>
      </c>
      <c r="F65" s="183" t="s">
        <v>343</v>
      </c>
      <c r="G65" s="40"/>
    </row>
    <row r="66" spans="2:7" ht="15.95" customHeight="1">
      <c r="B66" s="61"/>
      <c r="C66" s="49" t="s">
        <v>392</v>
      </c>
      <c r="D66" s="118">
        <v>64</v>
      </c>
      <c r="E66" s="140" t="s">
        <v>334</v>
      </c>
      <c r="F66" s="183" t="s">
        <v>343</v>
      </c>
      <c r="G66" s="40"/>
    </row>
    <row r="67" spans="2:7" ht="15.95" customHeight="1">
      <c r="B67" s="61"/>
      <c r="C67" s="49" t="s">
        <v>393</v>
      </c>
      <c r="D67" s="118">
        <v>2366</v>
      </c>
      <c r="E67" s="175" t="s">
        <v>298</v>
      </c>
      <c r="F67" s="183" t="s">
        <v>343</v>
      </c>
      <c r="G67" s="40"/>
    </row>
    <row r="68" spans="2:7" ht="15.95" customHeight="1">
      <c r="B68" s="61"/>
      <c r="C68" s="49" t="s">
        <v>394</v>
      </c>
      <c r="D68" s="118">
        <v>47</v>
      </c>
      <c r="E68" s="140" t="s">
        <v>334</v>
      </c>
      <c r="F68" s="183" t="s">
        <v>343</v>
      </c>
      <c r="G68" s="40"/>
    </row>
    <row r="69" spans="2:7" ht="15.95" customHeight="1">
      <c r="B69" s="61"/>
      <c r="C69" s="49" t="s">
        <v>395</v>
      </c>
      <c r="D69" s="118">
        <v>2836</v>
      </c>
      <c r="E69" s="175" t="s">
        <v>298</v>
      </c>
      <c r="F69" s="183" t="s">
        <v>343</v>
      </c>
      <c r="G69" s="40"/>
    </row>
    <row r="70" spans="2:7" ht="15.95" customHeight="1">
      <c r="B70" s="61"/>
      <c r="C70" s="49" t="s">
        <v>396</v>
      </c>
      <c r="D70" s="118">
        <v>34</v>
      </c>
      <c r="E70" s="140" t="s">
        <v>334</v>
      </c>
      <c r="F70" s="183" t="s">
        <v>343</v>
      </c>
      <c r="G70" s="40"/>
    </row>
    <row r="71" spans="2:7" ht="15.95" customHeight="1">
      <c r="B71" s="61"/>
      <c r="C71" s="49" t="s">
        <v>397</v>
      </c>
      <c r="D71" s="118">
        <v>5250</v>
      </c>
      <c r="E71" s="175" t="s">
        <v>298</v>
      </c>
      <c r="F71" s="183" t="s">
        <v>343</v>
      </c>
      <c r="G71" s="40"/>
    </row>
    <row r="72" spans="2:7" ht="15.95" customHeight="1">
      <c r="B72" s="61"/>
      <c r="C72" s="49" t="s">
        <v>398</v>
      </c>
      <c r="D72" s="118">
        <v>34</v>
      </c>
      <c r="E72" s="140" t="s">
        <v>334</v>
      </c>
      <c r="F72" s="183" t="s">
        <v>343</v>
      </c>
      <c r="G72" s="40"/>
    </row>
    <row r="73" spans="2:7" ht="15.95" customHeight="1">
      <c r="B73" s="61"/>
      <c r="C73" s="49" t="s">
        <v>399</v>
      </c>
      <c r="D73" s="118">
        <v>2000</v>
      </c>
      <c r="E73" s="140" t="s">
        <v>298</v>
      </c>
      <c r="F73" s="59" t="s">
        <v>343</v>
      </c>
      <c r="G73" s="40"/>
    </row>
    <row r="74" spans="2:7" ht="15.95" customHeight="1">
      <c r="B74" s="61"/>
      <c r="C74" s="49" t="s">
        <v>400</v>
      </c>
      <c r="D74" s="118">
        <v>200</v>
      </c>
      <c r="E74" s="140" t="s">
        <v>334</v>
      </c>
      <c r="F74" s="59" t="s">
        <v>343</v>
      </c>
      <c r="G74" s="40"/>
    </row>
    <row r="75" spans="2:7" ht="15.95" customHeight="1">
      <c r="B75" s="61"/>
      <c r="C75" s="49" t="s">
        <v>401</v>
      </c>
      <c r="D75" s="118">
        <v>1650</v>
      </c>
      <c r="E75" s="140" t="s">
        <v>298</v>
      </c>
      <c r="F75" s="59" t="s">
        <v>343</v>
      </c>
      <c r="G75" s="40"/>
    </row>
    <row r="76" spans="2:7" ht="15.95" customHeight="1">
      <c r="B76" s="61"/>
      <c r="C76" s="49" t="s">
        <v>402</v>
      </c>
      <c r="D76" s="118">
        <v>17</v>
      </c>
      <c r="E76" s="140" t="s">
        <v>334</v>
      </c>
      <c r="F76" s="59" t="s">
        <v>343</v>
      </c>
      <c r="G76" s="40"/>
    </row>
    <row r="77" spans="2:7" ht="15.95" customHeight="1">
      <c r="B77" s="61"/>
      <c r="C77" s="49" t="s">
        <v>403</v>
      </c>
      <c r="D77" s="118">
        <v>65466</v>
      </c>
      <c r="E77" s="140" t="s">
        <v>298</v>
      </c>
      <c r="F77" s="59" t="s">
        <v>343</v>
      </c>
      <c r="G77" s="40"/>
    </row>
    <row r="78" spans="2:7" ht="15.95" customHeight="1">
      <c r="B78" s="61"/>
      <c r="C78" s="49" t="s">
        <v>404</v>
      </c>
      <c r="D78" s="118">
        <v>276152</v>
      </c>
      <c r="E78" s="140" t="s">
        <v>334</v>
      </c>
      <c r="F78" s="59" t="s">
        <v>343</v>
      </c>
      <c r="G78" s="40"/>
    </row>
    <row r="79" spans="2:7" ht="15.95" customHeight="1">
      <c r="B79" s="61"/>
      <c r="C79" s="62" t="s">
        <v>409</v>
      </c>
      <c r="D79" s="118">
        <v>700</v>
      </c>
      <c r="E79" s="175" t="s">
        <v>298</v>
      </c>
      <c r="F79" s="59" t="s">
        <v>343</v>
      </c>
      <c r="G79" s="40"/>
    </row>
    <row r="80" spans="2:7" ht="15.95" customHeight="1">
      <c r="B80" s="61"/>
      <c r="C80" s="62" t="s">
        <v>410</v>
      </c>
      <c r="D80" s="118">
        <v>6</v>
      </c>
      <c r="E80" s="140" t="s">
        <v>334</v>
      </c>
      <c r="F80" s="59" t="s">
        <v>343</v>
      </c>
      <c r="G80" s="40"/>
    </row>
    <row r="81" spans="2:7" ht="15.95" customHeight="1">
      <c r="B81" s="61"/>
      <c r="C81" s="62" t="s">
        <v>405</v>
      </c>
      <c r="D81" s="118">
        <v>2200</v>
      </c>
      <c r="E81" s="175" t="s">
        <v>298</v>
      </c>
      <c r="F81" s="59" t="s">
        <v>343</v>
      </c>
      <c r="G81" s="40"/>
    </row>
    <row r="82" spans="2:7" ht="15.95" customHeight="1">
      <c r="B82" s="61"/>
      <c r="C82" s="62" t="s">
        <v>408</v>
      </c>
      <c r="D82" s="118">
        <v>10</v>
      </c>
      <c r="E82" s="140" t="s">
        <v>334</v>
      </c>
      <c r="F82" s="59" t="s">
        <v>343</v>
      </c>
      <c r="G82" s="40"/>
    </row>
    <row r="83" spans="2:7" ht="15.95" customHeight="1">
      <c r="B83" s="50" t="s">
        <v>309</v>
      </c>
      <c r="C83" s="49" t="s">
        <v>225</v>
      </c>
      <c r="D83" s="118">
        <v>15341697528</v>
      </c>
      <c r="E83" s="140" t="s">
        <v>602</v>
      </c>
      <c r="F83" s="59" t="s">
        <v>343</v>
      </c>
      <c r="G83" s="40"/>
    </row>
    <row r="84" spans="2:7" ht="15.95" customHeight="1">
      <c r="B84" s="58" t="s">
        <v>223</v>
      </c>
      <c r="C84" s="49" t="s">
        <v>297</v>
      </c>
      <c r="D84" s="118">
        <v>4633290</v>
      </c>
      <c r="E84" s="140" t="s">
        <v>334</v>
      </c>
      <c r="F84" s="59" t="s">
        <v>343</v>
      </c>
      <c r="G84" s="40"/>
    </row>
    <row r="85" spans="2:7" ht="15.95" customHeight="1">
      <c r="B85" s="61"/>
      <c r="C85" s="49" t="s">
        <v>339</v>
      </c>
      <c r="D85" s="118">
        <v>1084606</v>
      </c>
      <c r="E85" s="175" t="s">
        <v>336</v>
      </c>
      <c r="F85" s="59" t="s">
        <v>343</v>
      </c>
      <c r="G85" s="40"/>
    </row>
    <row r="86" spans="2:7" ht="15.95" customHeight="1">
      <c r="B86" s="61"/>
      <c r="C86" s="49" t="s">
        <v>340</v>
      </c>
      <c r="D86" s="118">
        <v>60948</v>
      </c>
      <c r="E86" s="140" t="s">
        <v>334</v>
      </c>
      <c r="F86" s="59" t="s">
        <v>343</v>
      </c>
      <c r="G86" s="40"/>
    </row>
    <row r="87" spans="2:7" ht="15.95" customHeight="1">
      <c r="B87" s="61"/>
      <c r="C87" s="49" t="s">
        <v>350</v>
      </c>
      <c r="D87" s="118">
        <v>36706</v>
      </c>
      <c r="E87" s="175" t="s">
        <v>298</v>
      </c>
      <c r="F87" s="183" t="s">
        <v>343</v>
      </c>
      <c r="G87" s="40"/>
    </row>
    <row r="88" spans="2:7" ht="15.95" customHeight="1">
      <c r="B88" s="61"/>
      <c r="C88" s="49" t="s">
        <v>351</v>
      </c>
      <c r="D88" s="118">
        <v>2938</v>
      </c>
      <c r="E88" s="140" t="s">
        <v>334</v>
      </c>
      <c r="F88" s="183" t="s">
        <v>343</v>
      </c>
      <c r="G88" s="40"/>
    </row>
    <row r="89" spans="2:7" ht="15.95" customHeight="1">
      <c r="B89" s="61"/>
      <c r="C89" s="49" t="s">
        <v>352</v>
      </c>
      <c r="D89" s="118">
        <v>827</v>
      </c>
      <c r="E89" s="175" t="s">
        <v>298</v>
      </c>
      <c r="F89" s="183" t="s">
        <v>343</v>
      </c>
      <c r="G89" s="40"/>
    </row>
    <row r="90" spans="2:7" ht="15.95" customHeight="1">
      <c r="B90"/>
      <c r="C90" s="49" t="s">
        <v>353</v>
      </c>
      <c r="D90" s="118">
        <v>481</v>
      </c>
      <c r="E90" s="140" t="s">
        <v>334</v>
      </c>
      <c r="F90" s="183" t="s">
        <v>343</v>
      </c>
      <c r="G90" s="40"/>
    </row>
    <row r="91" spans="2:7" ht="15.95" customHeight="1">
      <c r="B91"/>
      <c r="C91" s="49" t="s">
        <v>358</v>
      </c>
      <c r="D91" s="118">
        <v>20000</v>
      </c>
      <c r="E91" s="175" t="s">
        <v>298</v>
      </c>
      <c r="F91" s="183" t="s">
        <v>343</v>
      </c>
      <c r="G91" s="40"/>
    </row>
    <row r="92" spans="2:7" ht="15.95" customHeight="1">
      <c r="B92"/>
      <c r="C92" s="49" t="s">
        <v>359</v>
      </c>
      <c r="D92" s="118">
        <v>1273</v>
      </c>
      <c r="E92" s="140" t="s">
        <v>334</v>
      </c>
      <c r="F92" s="183" t="s">
        <v>343</v>
      </c>
      <c r="G92" s="40"/>
    </row>
    <row r="93" spans="2:7" ht="15.95" customHeight="1">
      <c r="B93"/>
      <c r="C93" s="49" t="s">
        <v>360</v>
      </c>
      <c r="D93" s="118">
        <v>91</v>
      </c>
      <c r="E93" s="175" t="s">
        <v>298</v>
      </c>
      <c r="F93" s="183" t="s">
        <v>343</v>
      </c>
      <c r="G93" s="40"/>
    </row>
    <row r="94" spans="2:7" ht="15.95" customHeight="1">
      <c r="B94" s="61"/>
      <c r="C94" s="49" t="s">
        <v>361</v>
      </c>
      <c r="D94" s="118">
        <v>573</v>
      </c>
      <c r="E94" s="140" t="s">
        <v>334</v>
      </c>
      <c r="F94" s="183" t="s">
        <v>343</v>
      </c>
      <c r="G94" s="40"/>
    </row>
    <row r="95" spans="2:7" ht="15.95" customHeight="1">
      <c r="B95" s="61"/>
      <c r="C95" s="49" t="s">
        <v>362</v>
      </c>
      <c r="D95" s="118">
        <v>1000</v>
      </c>
      <c r="E95" s="175" t="s">
        <v>298</v>
      </c>
      <c r="F95" s="183" t="s">
        <v>343</v>
      </c>
      <c r="G95" s="40"/>
    </row>
    <row r="96" spans="2:7" ht="15.95" customHeight="1">
      <c r="B96" s="61"/>
      <c r="C96" s="49" t="s">
        <v>363</v>
      </c>
      <c r="D96" s="118">
        <v>1705</v>
      </c>
      <c r="E96" s="140" t="s">
        <v>334</v>
      </c>
      <c r="F96" s="183" t="s">
        <v>343</v>
      </c>
      <c r="G96" s="40"/>
    </row>
    <row r="97" spans="2:7" ht="15.95" customHeight="1">
      <c r="B97" s="61"/>
      <c r="C97" s="49" t="s">
        <v>411</v>
      </c>
      <c r="D97" s="118">
        <v>710</v>
      </c>
      <c r="E97" s="175" t="s">
        <v>298</v>
      </c>
      <c r="F97" s="183" t="s">
        <v>343</v>
      </c>
      <c r="G97" s="40"/>
    </row>
    <row r="98" spans="2:7" ht="15.95" customHeight="1">
      <c r="B98" s="61"/>
      <c r="C98" s="49" t="s">
        <v>412</v>
      </c>
      <c r="D98" s="118">
        <v>54</v>
      </c>
      <c r="E98" s="140" t="s">
        <v>334</v>
      </c>
      <c r="F98" s="183" t="s">
        <v>343</v>
      </c>
      <c r="G98" s="40"/>
    </row>
    <row r="99" spans="2:7" ht="15.95" customHeight="1">
      <c r="B99" s="61"/>
      <c r="C99" s="49" t="s">
        <v>413</v>
      </c>
      <c r="D99" s="118">
        <v>208</v>
      </c>
      <c r="E99" s="140" t="s">
        <v>298</v>
      </c>
      <c r="F99" s="183" t="s">
        <v>343</v>
      </c>
      <c r="G99" s="40"/>
    </row>
    <row r="100" spans="2:7" ht="15.95" customHeight="1">
      <c r="B100" s="61"/>
      <c r="C100" s="49" t="s">
        <v>414</v>
      </c>
      <c r="D100" s="118">
        <v>1674</v>
      </c>
      <c r="E100" s="140" t="s">
        <v>334</v>
      </c>
      <c r="F100" s="183" t="s">
        <v>343</v>
      </c>
      <c r="G100" s="40"/>
    </row>
    <row r="101" spans="2:7" ht="15.95" customHeight="1">
      <c r="B101" s="61"/>
      <c r="C101" s="49" t="s">
        <v>415</v>
      </c>
      <c r="D101" s="118">
        <v>191</v>
      </c>
      <c r="E101" s="140" t="s">
        <v>298</v>
      </c>
      <c r="F101" s="183" t="s">
        <v>343</v>
      </c>
      <c r="G101" s="40"/>
    </row>
    <row r="102" spans="2:7" ht="15.95" customHeight="1">
      <c r="B102" s="61"/>
      <c r="C102" s="49" t="s">
        <v>416</v>
      </c>
      <c r="D102" s="118">
        <v>1724</v>
      </c>
      <c r="E102" s="140" t="s">
        <v>334</v>
      </c>
      <c r="F102" s="183" t="s">
        <v>343</v>
      </c>
      <c r="G102" s="40"/>
    </row>
    <row r="103" spans="2:7" ht="15.95" customHeight="1">
      <c r="B103" s="61"/>
      <c r="C103" s="62" t="s">
        <v>417</v>
      </c>
      <c r="D103" s="118">
        <v>33745</v>
      </c>
      <c r="E103" s="159" t="s">
        <v>298</v>
      </c>
      <c r="F103" s="59" t="s">
        <v>343</v>
      </c>
      <c r="G103" s="40"/>
    </row>
    <row r="104" spans="2:7" ht="15.95" customHeight="1">
      <c r="B104" s="61"/>
      <c r="C104" s="62" t="s">
        <v>418</v>
      </c>
      <c r="D104" s="118">
        <v>2502</v>
      </c>
      <c r="E104" s="140" t="s">
        <v>334</v>
      </c>
      <c r="F104" s="59" t="s">
        <v>343</v>
      </c>
      <c r="G104" s="40"/>
    </row>
    <row r="105" spans="2:7" ht="15.95" customHeight="1">
      <c r="B105" s="50" t="s">
        <v>310</v>
      </c>
      <c r="C105" s="49" t="s">
        <v>279</v>
      </c>
      <c r="D105" s="206" t="s">
        <v>603</v>
      </c>
      <c r="E105" s="207"/>
      <c r="F105" s="59" t="s">
        <v>419</v>
      </c>
      <c r="G105" s="40"/>
    </row>
    <row r="106" spans="2:7" ht="15.95" customHeight="1">
      <c r="B106" s="53" t="s">
        <v>216</v>
      </c>
      <c r="C106" s="49" t="s">
        <v>115</v>
      </c>
      <c r="D106" s="208"/>
      <c r="E106" s="209"/>
      <c r="F106" s="63"/>
      <c r="G106" s="40"/>
    </row>
    <row r="107" spans="2:7" ht="15.95" customHeight="1">
      <c r="B107" s="54"/>
      <c r="C107" s="49" t="s">
        <v>217</v>
      </c>
      <c r="D107" s="244" t="s">
        <v>604</v>
      </c>
      <c r="E107" s="209"/>
      <c r="F107" s="123" t="s">
        <v>605</v>
      </c>
      <c r="G107" s="40"/>
    </row>
    <row r="108" spans="2:7" ht="15.95" customHeight="1">
      <c r="B108" s="53"/>
      <c r="C108" s="49" t="s">
        <v>229</v>
      </c>
      <c r="D108" s="208"/>
      <c r="E108" s="209"/>
      <c r="F108" s="123"/>
      <c r="G108" s="40"/>
    </row>
    <row r="109" spans="2:7" ht="15.95" customHeight="1">
      <c r="B109" s="64" t="s">
        <v>311</v>
      </c>
      <c r="C109" s="65" t="s">
        <v>303</v>
      </c>
      <c r="D109" s="210" t="s">
        <v>332</v>
      </c>
      <c r="E109" s="211"/>
      <c r="F109" s="142"/>
      <c r="G109" s="40"/>
    </row>
    <row r="110" spans="2:7" ht="15.95" customHeight="1">
      <c r="B110" s="53" t="s">
        <v>230</v>
      </c>
      <c r="C110" s="65" t="s">
        <v>304</v>
      </c>
      <c r="D110" s="210" t="s">
        <v>332</v>
      </c>
      <c r="E110" s="211"/>
      <c r="F110" s="142"/>
      <c r="G110" s="40"/>
    </row>
    <row r="111" spans="2:7" ht="15.95" customHeight="1">
      <c r="B111" s="66"/>
      <c r="C111" s="49" t="s">
        <v>226</v>
      </c>
      <c r="D111" s="212" t="s">
        <v>420</v>
      </c>
      <c r="E111" s="213"/>
      <c r="F111" s="186" t="s">
        <v>421</v>
      </c>
      <c r="G111" s="40"/>
    </row>
    <row r="112" spans="2:7" ht="86.1" customHeight="1">
      <c r="B112" s="64" t="s">
        <v>312</v>
      </c>
      <c r="C112" s="65" t="s">
        <v>93</v>
      </c>
      <c r="D112" s="214" t="s">
        <v>422</v>
      </c>
      <c r="E112" s="215"/>
      <c r="F112" s="183" t="s">
        <v>423</v>
      </c>
      <c r="G112" s="40"/>
    </row>
    <row r="113" spans="2:7" ht="15.95" customHeight="1">
      <c r="B113" s="64" t="s">
        <v>313</v>
      </c>
      <c r="C113" s="65" t="s">
        <v>116</v>
      </c>
      <c r="D113" s="216" t="s">
        <v>332</v>
      </c>
      <c r="E113" s="217"/>
      <c r="F113" s="142"/>
      <c r="G113" s="40"/>
    </row>
    <row r="114" spans="2:7" ht="59.1" customHeight="1">
      <c r="B114" s="64" t="s">
        <v>314</v>
      </c>
      <c r="C114" s="65" t="s">
        <v>227</v>
      </c>
      <c r="D114" s="206" t="s">
        <v>330</v>
      </c>
      <c r="E114" s="207"/>
      <c r="F114" s="187" t="s">
        <v>424</v>
      </c>
      <c r="G114" s="40"/>
    </row>
    <row r="115" spans="2:7" ht="15.95" customHeight="1">
      <c r="B115" s="10" t="s">
        <v>214</v>
      </c>
      <c r="C115" s="65" t="s">
        <v>228</v>
      </c>
      <c r="D115" s="206" t="s">
        <v>332</v>
      </c>
      <c r="E115" s="207"/>
      <c r="F115" s="63"/>
      <c r="G115" s="40"/>
    </row>
    <row r="116" spans="2:7" ht="15.95" customHeight="1">
      <c r="C116" s="65" t="s">
        <v>213</v>
      </c>
      <c r="D116" s="204" t="s">
        <v>332</v>
      </c>
      <c r="E116" s="205"/>
      <c r="F116" s="123"/>
      <c r="G116" s="40"/>
    </row>
    <row r="117" spans="2:7" ht="15.95" customHeight="1" thickBot="1">
      <c r="B117" s="67"/>
      <c r="C117" s="62" t="s">
        <v>211</v>
      </c>
      <c r="D117" s="218"/>
      <c r="E117" s="219"/>
      <c r="F117" s="124"/>
      <c r="G117" s="40"/>
    </row>
    <row r="118" spans="2:7" ht="15.95" customHeight="1">
      <c r="B118" s="68"/>
      <c r="C118" s="68"/>
      <c r="D118" s="69"/>
      <c r="E118" s="69"/>
      <c r="F118" s="69"/>
    </row>
    <row r="119" spans="2:7" ht="15.95" customHeight="1" thickBot="1">
      <c r="D119" s="222" t="s">
        <v>110</v>
      </c>
      <c r="E119" s="223"/>
    </row>
    <row r="120" spans="2:7" ht="25.5">
      <c r="B120" s="50" t="s">
        <v>315</v>
      </c>
      <c r="C120" s="49" t="s">
        <v>231</v>
      </c>
      <c r="D120" s="220" t="s">
        <v>330</v>
      </c>
      <c r="E120" s="221"/>
      <c r="F120" s="57" t="s">
        <v>425</v>
      </c>
      <c r="G120" s="40"/>
    </row>
    <row r="121" spans="2:7" ht="13.5" thickBot="1">
      <c r="B121" s="58" t="s">
        <v>223</v>
      </c>
      <c r="C121" s="49" t="s">
        <v>233</v>
      </c>
      <c r="D121" s="118"/>
      <c r="E121" s="167"/>
      <c r="F121" s="59"/>
      <c r="G121" s="40"/>
    </row>
    <row r="122" spans="2:7" ht="26.25" thickBot="1">
      <c r="B122" s="58"/>
      <c r="C122" s="188" t="s">
        <v>426</v>
      </c>
      <c r="D122" s="118">
        <f>334946+181949</f>
        <v>516895</v>
      </c>
      <c r="E122" s="176" t="s">
        <v>336</v>
      </c>
      <c r="F122" s="57" t="s">
        <v>425</v>
      </c>
      <c r="G122" s="40"/>
    </row>
    <row r="123" spans="2:7" ht="26.25" thickBot="1">
      <c r="B123" s="58"/>
      <c r="C123" s="188" t="s">
        <v>83</v>
      </c>
      <c r="D123" s="118">
        <f>52937+107982+141.983</f>
        <v>161060.98300000001</v>
      </c>
      <c r="E123" s="176" t="s">
        <v>336</v>
      </c>
      <c r="F123" s="57" t="s">
        <v>425</v>
      </c>
      <c r="G123" s="40"/>
    </row>
    <row r="124" spans="2:7" ht="26.25" thickBot="1">
      <c r="B124" s="58"/>
      <c r="C124" s="188" t="s">
        <v>84</v>
      </c>
      <c r="D124" s="118">
        <f>83702+55722+41</f>
        <v>139465</v>
      </c>
      <c r="E124" s="140" t="s">
        <v>338</v>
      </c>
      <c r="F124" s="57" t="s">
        <v>425</v>
      </c>
      <c r="G124" s="40"/>
    </row>
    <row r="125" spans="2:7" ht="26.25" thickBot="1">
      <c r="B125" s="58"/>
      <c r="C125" s="188" t="s">
        <v>287</v>
      </c>
      <c r="D125" s="118">
        <v>20356</v>
      </c>
      <c r="E125" s="176" t="s">
        <v>377</v>
      </c>
      <c r="F125" s="57" t="s">
        <v>425</v>
      </c>
      <c r="G125" s="40"/>
    </row>
    <row r="126" spans="2:7" ht="26.25" thickBot="1">
      <c r="B126" s="58"/>
      <c r="C126" s="188" t="s">
        <v>427</v>
      </c>
      <c r="D126" s="118">
        <v>3</v>
      </c>
      <c r="E126" s="176" t="s">
        <v>298</v>
      </c>
      <c r="F126" s="57" t="s">
        <v>425</v>
      </c>
      <c r="G126" s="40"/>
    </row>
    <row r="127" spans="2:7" ht="26.25" thickBot="1">
      <c r="C127" s="49" t="s">
        <v>234</v>
      </c>
      <c r="D127" s="118">
        <f>1133624+425593+28315</f>
        <v>1587532</v>
      </c>
      <c r="E127" s="140" t="s">
        <v>334</v>
      </c>
      <c r="F127" s="57" t="s">
        <v>425</v>
      </c>
      <c r="G127" s="40"/>
    </row>
    <row r="128" spans="2:7" ht="26.25" thickBot="1">
      <c r="B128" s="50" t="s">
        <v>316</v>
      </c>
      <c r="C128" s="49" t="s">
        <v>231</v>
      </c>
      <c r="D128" s="206" t="s">
        <v>330</v>
      </c>
      <c r="E128" s="207"/>
      <c r="F128" s="57" t="s">
        <v>428</v>
      </c>
      <c r="G128" s="40"/>
    </row>
    <row r="129" spans="2:7" ht="26.25" thickBot="1">
      <c r="B129" s="58" t="s">
        <v>223</v>
      </c>
      <c r="C129" s="49" t="s">
        <v>235</v>
      </c>
      <c r="D129" s="118">
        <v>0</v>
      </c>
      <c r="E129" s="140" t="s">
        <v>334</v>
      </c>
      <c r="F129" s="57" t="s">
        <v>428</v>
      </c>
      <c r="G129" s="40"/>
    </row>
    <row r="130" spans="2:7" ht="26.25" thickBot="1">
      <c r="B130" s="50" t="s">
        <v>317</v>
      </c>
      <c r="C130" s="52" t="s">
        <v>232</v>
      </c>
      <c r="D130" s="206" t="s">
        <v>330</v>
      </c>
      <c r="E130" s="207"/>
      <c r="F130" s="57" t="s">
        <v>429</v>
      </c>
      <c r="G130" s="40"/>
    </row>
    <row r="131" spans="2:7" ht="26.25" thickBot="1">
      <c r="B131" s="58" t="s">
        <v>223</v>
      </c>
      <c r="C131" s="49" t="s">
        <v>235</v>
      </c>
      <c r="D131" s="118">
        <v>14619</v>
      </c>
      <c r="E131" s="140" t="s">
        <v>334</v>
      </c>
      <c r="F131" s="57" t="s">
        <v>429</v>
      </c>
      <c r="G131" s="40"/>
    </row>
    <row r="132" spans="2:7" ht="26.25" thickBot="1">
      <c r="B132" s="50" t="s">
        <v>318</v>
      </c>
      <c r="C132" s="52" t="s">
        <v>236</v>
      </c>
      <c r="D132" s="206" t="s">
        <v>330</v>
      </c>
      <c r="E132" s="207"/>
      <c r="F132" s="57" t="s">
        <v>430</v>
      </c>
      <c r="G132" s="40"/>
    </row>
    <row r="133" spans="2:7" ht="25.5">
      <c r="B133" s="58" t="s">
        <v>223</v>
      </c>
      <c r="C133" s="49" t="s">
        <v>235</v>
      </c>
      <c r="D133" s="118">
        <v>408607</v>
      </c>
      <c r="E133" s="140" t="s">
        <v>334</v>
      </c>
      <c r="F133" s="57" t="s">
        <v>430</v>
      </c>
      <c r="G133" s="40"/>
    </row>
    <row r="134" spans="2:7" ht="15.95" customHeight="1">
      <c r="B134" s="50" t="s">
        <v>319</v>
      </c>
      <c r="C134" s="52" t="s">
        <v>237</v>
      </c>
      <c r="D134" s="206" t="s">
        <v>332</v>
      </c>
      <c r="E134" s="207"/>
      <c r="F134" s="59"/>
      <c r="G134" s="40"/>
    </row>
    <row r="135" spans="2:7" ht="15.95" customHeight="1">
      <c r="B135" s="58" t="s">
        <v>223</v>
      </c>
      <c r="C135" s="49" t="s">
        <v>235</v>
      </c>
      <c r="D135" s="118"/>
      <c r="E135" s="140"/>
      <c r="F135" s="59"/>
      <c r="G135" s="40"/>
    </row>
    <row r="136" spans="2:7" ht="15.95" customHeight="1">
      <c r="B136" s="50" t="s">
        <v>320</v>
      </c>
      <c r="C136" s="52" t="s">
        <v>238</v>
      </c>
      <c r="D136" s="206" t="s">
        <v>332</v>
      </c>
      <c r="E136" s="207"/>
      <c r="F136" s="59"/>
      <c r="G136" s="40"/>
    </row>
    <row r="137" spans="2:7" ht="15.95" customHeight="1" thickBot="1">
      <c r="B137" s="70" t="s">
        <v>223</v>
      </c>
      <c r="C137" s="49" t="s">
        <v>235</v>
      </c>
      <c r="D137" s="125"/>
      <c r="E137" s="141"/>
      <c r="F137" s="143"/>
      <c r="G137" s="40"/>
    </row>
    <row r="138" spans="2:7" ht="15.95" customHeight="1">
      <c r="B138" s="157"/>
    </row>
  </sheetData>
  <mergeCells count="20">
    <mergeCell ref="D136:E136"/>
    <mergeCell ref="D117:E117"/>
    <mergeCell ref="D120:E120"/>
    <mergeCell ref="D128:E128"/>
    <mergeCell ref="D130:E130"/>
    <mergeCell ref="D132:E132"/>
    <mergeCell ref="D134:E134"/>
    <mergeCell ref="D119:E119"/>
    <mergeCell ref="D116:E116"/>
    <mergeCell ref="D105:E105"/>
    <mergeCell ref="D106:E106"/>
    <mergeCell ref="D107:E107"/>
    <mergeCell ref="D108:E108"/>
    <mergeCell ref="D109:E109"/>
    <mergeCell ref="D110:E110"/>
    <mergeCell ref="D111:E111"/>
    <mergeCell ref="D112:E112"/>
    <mergeCell ref="D113:E113"/>
    <mergeCell ref="D114:E114"/>
    <mergeCell ref="D115:E115"/>
  </mergeCells>
  <dataValidations xWindow="1744" yWindow="959" count="27">
    <dataValidation allowBlank="1" sqref="F106 F114:F115 F17:F72 F87:F102 D109:D110 D112 F112" xr:uid="{00000000-0002-0000-0200-000000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9" xr:uid="{00000000-0002-0000-0200-000001000000}">
      <formula1>2</formula1>
    </dataValidation>
    <dataValidation type="textLength" operator="equal" showInputMessage="1" showErrorMessage="1" errorTitle="Invalid entry" error="Invalid entry" promptTitle="Please input unit" prompt="Please input currency according to 3-letter ISO currency code." sqref="E137 E129 E127 E131 E135 E104 E124 E5:E10 E56 E12:E14 E16 E20 E22 E64 E58 E60 E68 E66 E62 E82:E84 E18 E70 E72:E78 E80 E24 E26 E28 E30 E32 E34 E36 E38 E40 E42 E44 E46 E48 E50 E52 E54 E86 E88 E90 E92 E94 E96 E98:E102 E133" xr:uid="{00000000-0002-0000-0200-000002000000}">
      <formula1>3</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5" xr:uid="{00000000-0002-0000-0200-00000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6" xr:uid="{00000000-0002-0000-0200-00000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7" xr:uid="{00000000-0002-0000-0200-00000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8" xr:uid="{00000000-0002-0000-0200-00000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1:D104 D121:D127" xr:uid="{00000000-0002-0000-0200-000007000000}">
      <formula1>0</formula1>
    </dataValidation>
    <dataValidation allowBlank="1" showInputMessage="1" showErrorMessage="1" promptTitle="If no, provide explanation" prompt="If EI revenues are not recorded in government accounts or budgets, please specify why or any additional related comments here." sqref="D106:E106" xr:uid="{00000000-0002-0000-0200-000008000000}"/>
    <dataValidation allowBlank="1" showInputMessage="1" promptTitle="Source" prompt="Please insert source of information, either as section in EITI report, or direct URL to external source." sqref="F103:F105 F5:F16 F73:F86" xr:uid="{00000000-0002-0000-0200-000009000000}"/>
    <dataValidation allowBlank="1" showInputMessage="1" promptTitle="Government accounts/budget" prompt="Please input name of government accounts/budget, containing revenues from extractive industries." sqref="D107:E107" xr:uid="{3E34CA2D-334D-46D1-903A-90DD70E8ABB7}"/>
    <dataValidation allowBlank="1" showInputMessage="1" promptTitle="Government accounts/budget URL" prompt="Please input direct URL to government accounts/budget, containing revenues from extractive industries." sqref="F107" xr:uid="{622FE9E1-1202-470B-A788-2BABA3882162}"/>
    <dataValidation allowBlank="1" showInputMessage="1" promptTitle="Other financial reports" prompt="Please input name of other documents, containing revenues from extractive industries." sqref="D108:E108" xr:uid="{00000000-0002-0000-0200-00000D000000}"/>
    <dataValidation allowBlank="1" showInputMessage="1" promptTitle="Other reports URL" prompt="Please input direct URL to other documents containing revenues from extractive industries." sqref="F108" xr:uid="{00000000-0002-0000-0200-00000E000000}"/>
    <dataValidation allowBlank="1" showInputMessage="1" showErrorMessage="1" promptTitle="Registry URL" prompt="Please insert direct URL to the registry._x000a_Any additional information, please include in comment section" sqref="F109:F110 F113 F116:F117" xr:uid="{00000000-0002-0000-0200-00000F00000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ocial expenditure" prompt="Please input only numbers in this cell. If other information is required, include this in comment section" sqref="D131" xr:uid="{00000000-0002-0000-0200-000013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ransportation revenues" prompt="Please input only numbers in this cell. If other information is required, include this in comment section" sqref="D133" xr:uid="{00000000-0002-0000-0200-000014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payments" prompt="Please input only numbers in this cell. If other information is required, include this in comment section" sqref="D135" xr:uid="{00000000-0002-0000-0200-000015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Sub-national transfers" prompt="Please input only numbers in this cell. If other information is required, include this in comment section" sqref="D137" xr:uid="{00000000-0002-0000-0200-000016000000}">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0" xr:uid="{00000000-0002-0000-0200-000017000000}">
      <formula1>2</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E103 E97 E53 E11 E19 E15 E21 E63 E55 E57 E59 E61 E65 E81 E17 E23 E71 E79 E69 E67 E25 E27 E29 E31 E33 E35 E37 E39 E41 E43 E45 E47 E49 E51 E85 E87 E89 E91 E93 E95 E121:E123 E125:E126" xr:uid="{00000000-0002-0000-0200-000018000000}">
      <formula1>"&lt;Select unit&gt;,Sm3,Sm3 o.e.,Barrels,Tonnes,oz,carats,Scf"</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frastructure and barter" prompt="Please input only numbers in this cell. If other information is required, include this in comment section" sqref="D129" xr:uid="{0BC27362-0E67-4D1B-BD2D-A0BEEEF93F91}">
      <formula1>2</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D105:E105 D130:E130 D120:E120 D128:E128 D132:E132 D134:E134 D114:E115 D136:E136" xr:uid="{00000000-0002-0000-0200-00001A000000}">
      <formula1>"Yes,No,Partially,Not applicable,&lt;choose option&gt;"</formula1>
    </dataValidation>
    <dataValidation allowBlank="1" showInputMessage="1" promptTitle="Name of register" prompt="Please input name of register" sqref="D113:E113 D116:E117" xr:uid="{00000000-0002-0000-0200-00001B000000}"/>
    <dataValidation type="list" showDropDown="1" showInputMessage="1" showErrorMessage="1" errorTitle="Please do not edit these cells" error="Please do not edit these cells" sqref="C105:C116 C5:C10 C120:C121 B1:B1048576 C127:C137" xr:uid="{00000000-0002-0000-0200-00001C000000}">
      <formula1>"#ERROR!"</formula1>
    </dataValidation>
    <dataValidation type="custom" allowBlank="1" showInputMessage="1" showErrorMessage="1" errorTitle="Volume or value not specified" error="Please indicate whether volume or value, by including _x000a_&quot;, volume&quot; or &quot;, value&quot; at the end." promptTitle="Commodity volume/value" prompt="Please insert commodity, and specify whether volume or value, by including &quot;, volume&quot; or &quot;, value&quot; at the end." sqref="C11:C104" xr:uid="{00000000-0002-0000-0200-00000A000000}">
      <formula1>OR(ISNUMBER(SEARCH(", volume",C11)),ISNUMBER(SEARCH(", value",C11)))</formula1>
    </dataValidation>
    <dataValidation allowBlank="1" showInputMessage="1" promptTitle="Source" prompt="Please insert source of information, as section in EITI report" sqref="F120:F137" xr:uid="{00000000-0002-0000-0200-000012000000}"/>
  </dataValidations>
  <hyperlinks>
    <hyperlink ref="D107" r:id="rId1" location="T2lsIGFuZCBHYXM" xr:uid="{EC69A431-5753-453F-8E58-540539883FDF}"/>
    <hyperlink ref="F107" r:id="rId2" xr:uid="{14515C12-A142-4393-858C-360C705A4BDD}"/>
  </hyperlinks>
  <pageMargins left="0.75" right="0.75" top="1" bottom="1" header="0.5" footer="0.5"/>
  <pageSetup paperSize="9" scale="52" orientation="landscape" horizontalDpi="2400" verticalDpi="24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DG123"/>
  <sheetViews>
    <sheetView showGridLines="0" tabSelected="1" topLeftCell="C71" zoomScale="85" zoomScaleNormal="85" zoomScalePageLayoutView="85" workbookViewId="0">
      <selection activeCell="D78" sqref="D78:D79"/>
    </sheetView>
  </sheetViews>
  <sheetFormatPr baseColWidth="10" defaultColWidth="10.875" defaultRowHeight="15.75"/>
  <cols>
    <col min="1" max="1" width="3.625" style="71" customWidth="1"/>
    <col min="2" max="2" width="10.25" style="71" bestFit="1" customWidth="1"/>
    <col min="3" max="3" width="62.375" style="71" customWidth="1"/>
    <col min="4" max="4" width="24.25" style="71" customWidth="1"/>
    <col min="5" max="5" width="26.5" style="71" customWidth="1"/>
    <col min="6" max="6" width="18.375" style="71" bestFit="1" customWidth="1"/>
    <col min="7" max="7" width="18.75" style="71" customWidth="1"/>
    <col min="8" max="8" width="16.125" style="71" customWidth="1"/>
    <col min="9" max="11" width="15.5" style="71" bestFit="1" customWidth="1"/>
    <col min="12" max="12" width="14.625" style="71" bestFit="1" customWidth="1"/>
    <col min="13" max="13" width="14.625" style="71" customWidth="1"/>
    <col min="14" max="14" width="15.5" style="71" bestFit="1" customWidth="1"/>
    <col min="15" max="33" width="14.625" style="71" customWidth="1"/>
    <col min="34" max="35" width="15.5" style="71" bestFit="1" customWidth="1"/>
    <col min="36" max="111" width="14.625" style="71" customWidth="1"/>
    <col min="112" max="16384" width="10.875" style="71"/>
  </cols>
  <sheetData>
    <row r="2" spans="2:111" ht="26.25">
      <c r="B2" s="230" t="s">
        <v>195</v>
      </c>
      <c r="C2" s="230"/>
      <c r="D2" s="230"/>
      <c r="G2" s="165" t="s">
        <v>250</v>
      </c>
      <c r="H2" s="185" t="s">
        <v>198</v>
      </c>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row>
    <row r="3" spans="2:111">
      <c r="B3" s="228" t="s">
        <v>196</v>
      </c>
      <c r="C3" s="228"/>
      <c r="D3" s="228"/>
      <c r="G3" s="166" t="s">
        <v>431</v>
      </c>
      <c r="H3" s="128" t="s">
        <v>205</v>
      </c>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row>
    <row r="4" spans="2:111" ht="63">
      <c r="B4" s="229" t="s">
        <v>202</v>
      </c>
      <c r="C4" s="229"/>
      <c r="D4" s="229"/>
      <c r="G4" s="160" t="s">
        <v>305</v>
      </c>
      <c r="H4" s="84" t="s">
        <v>79</v>
      </c>
      <c r="I4" s="189" t="s">
        <v>432</v>
      </c>
      <c r="J4" s="85" t="s">
        <v>433</v>
      </c>
      <c r="K4" s="85" t="s">
        <v>434</v>
      </c>
      <c r="L4" s="85" t="s">
        <v>435</v>
      </c>
      <c r="M4" s="85" t="s">
        <v>436</v>
      </c>
      <c r="N4" s="85" t="s">
        <v>437</v>
      </c>
      <c r="O4" s="85" t="s">
        <v>502</v>
      </c>
      <c r="P4" s="85" t="s">
        <v>438</v>
      </c>
      <c r="Q4" s="85" t="s">
        <v>439</v>
      </c>
      <c r="R4" s="85" t="s">
        <v>503</v>
      </c>
      <c r="S4" s="85" t="s">
        <v>440</v>
      </c>
      <c r="T4" s="85" t="s">
        <v>504</v>
      </c>
      <c r="U4" s="85" t="s">
        <v>505</v>
      </c>
      <c r="V4" s="85" t="s">
        <v>506</v>
      </c>
      <c r="W4" s="85" t="s">
        <v>507</v>
      </c>
      <c r="X4" s="85" t="s">
        <v>508</v>
      </c>
      <c r="Y4" s="85" t="s">
        <v>441</v>
      </c>
      <c r="Z4" s="85" t="s">
        <v>509</v>
      </c>
      <c r="AA4" s="85" t="s">
        <v>510</v>
      </c>
      <c r="AB4" s="85" t="s">
        <v>511</v>
      </c>
      <c r="AC4" s="85" t="s">
        <v>512</v>
      </c>
      <c r="AD4" s="85" t="s">
        <v>513</v>
      </c>
      <c r="AE4" s="85" t="s">
        <v>514</v>
      </c>
      <c r="AF4" s="85" t="s">
        <v>515</v>
      </c>
      <c r="AG4" s="85" t="s">
        <v>516</v>
      </c>
      <c r="AH4" s="85" t="s">
        <v>442</v>
      </c>
      <c r="AI4" s="85" t="s">
        <v>443</v>
      </c>
      <c r="AJ4" s="85" t="s">
        <v>444</v>
      </c>
      <c r="AK4" s="85" t="s">
        <v>453</v>
      </c>
      <c r="AL4" s="85" t="s">
        <v>445</v>
      </c>
      <c r="AM4" s="85" t="s">
        <v>448</v>
      </c>
      <c r="AN4" s="85" t="s">
        <v>449</v>
      </c>
      <c r="AO4" s="85" t="s">
        <v>517</v>
      </c>
      <c r="AP4" s="85" t="s">
        <v>455</v>
      </c>
      <c r="AQ4" s="85" t="s">
        <v>451</v>
      </c>
      <c r="AR4" s="85" t="s">
        <v>454</v>
      </c>
      <c r="AS4" s="85" t="s">
        <v>450</v>
      </c>
      <c r="AT4" s="85" t="s">
        <v>518</v>
      </c>
      <c r="AU4" s="85" t="s">
        <v>452</v>
      </c>
      <c r="AV4" s="85" t="s">
        <v>446</v>
      </c>
      <c r="AW4" s="85" t="s">
        <v>456</v>
      </c>
      <c r="AX4" s="85" t="s">
        <v>447</v>
      </c>
      <c r="AY4" s="85" t="s">
        <v>457</v>
      </c>
      <c r="AZ4" s="85" t="s">
        <v>585</v>
      </c>
      <c r="BA4" s="85" t="s">
        <v>519</v>
      </c>
      <c r="BB4" s="85" t="s">
        <v>520</v>
      </c>
      <c r="BC4" s="85" t="s">
        <v>521</v>
      </c>
      <c r="BD4" s="85" t="s">
        <v>522</v>
      </c>
      <c r="BE4" s="85" t="s">
        <v>523</v>
      </c>
      <c r="BF4" s="85" t="s">
        <v>524</v>
      </c>
      <c r="BG4" s="85" t="s">
        <v>525</v>
      </c>
      <c r="BH4" s="85" t="s">
        <v>526</v>
      </c>
      <c r="BI4" s="85" t="s">
        <v>527</v>
      </c>
      <c r="BJ4" s="85" t="s">
        <v>528</v>
      </c>
      <c r="BK4" s="85" t="s">
        <v>529</v>
      </c>
      <c r="BL4" s="85" t="s">
        <v>530</v>
      </c>
      <c r="BM4" s="85" t="s">
        <v>531</v>
      </c>
      <c r="BN4" s="85" t="s">
        <v>532</v>
      </c>
      <c r="BO4" s="85" t="s">
        <v>533</v>
      </c>
      <c r="BP4" s="85" t="s">
        <v>534</v>
      </c>
      <c r="BQ4" s="85" t="s">
        <v>535</v>
      </c>
      <c r="BR4" s="85" t="s">
        <v>536</v>
      </c>
      <c r="BS4" s="85" t="s">
        <v>537</v>
      </c>
      <c r="BT4" s="85" t="s">
        <v>538</v>
      </c>
      <c r="BU4" s="85" t="s">
        <v>539</v>
      </c>
      <c r="BV4" s="85" t="s">
        <v>540</v>
      </c>
      <c r="BW4" s="85" t="s">
        <v>541</v>
      </c>
      <c r="BX4" s="85" t="s">
        <v>542</v>
      </c>
      <c r="BY4" s="85" t="s">
        <v>543</v>
      </c>
      <c r="BZ4" s="85" t="s">
        <v>544</v>
      </c>
      <c r="CA4" s="85" t="s">
        <v>545</v>
      </c>
      <c r="CB4" s="85" t="s">
        <v>546</v>
      </c>
      <c r="CC4" s="85" t="s">
        <v>547</v>
      </c>
      <c r="CD4" s="85" t="s">
        <v>548</v>
      </c>
      <c r="CE4" s="85" t="s">
        <v>549</v>
      </c>
      <c r="CF4" s="85" t="s">
        <v>550</v>
      </c>
      <c r="CG4" s="85" t="s">
        <v>551</v>
      </c>
      <c r="CH4" s="85" t="s">
        <v>552</v>
      </c>
      <c r="CI4" s="85" t="s">
        <v>553</v>
      </c>
      <c r="CJ4" s="85" t="s">
        <v>554</v>
      </c>
      <c r="CK4" s="85" t="s">
        <v>555</v>
      </c>
      <c r="CL4" s="85" t="s">
        <v>556</v>
      </c>
      <c r="CM4" s="85" t="s">
        <v>557</v>
      </c>
      <c r="CN4" s="85" t="s">
        <v>558</v>
      </c>
      <c r="CO4" s="85" t="s">
        <v>559</v>
      </c>
      <c r="CP4" s="85" t="s">
        <v>560</v>
      </c>
      <c r="CQ4" s="85" t="s">
        <v>561</v>
      </c>
      <c r="CR4" s="85" t="s">
        <v>562</v>
      </c>
      <c r="CS4" s="85" t="s">
        <v>563</v>
      </c>
      <c r="CT4" s="85" t="s">
        <v>564</v>
      </c>
      <c r="CU4" s="85" t="s">
        <v>565</v>
      </c>
      <c r="CV4" s="85" t="s">
        <v>566</v>
      </c>
      <c r="CW4" s="85" t="s">
        <v>567</v>
      </c>
      <c r="CX4" s="85" t="s">
        <v>568</v>
      </c>
      <c r="CY4" s="85" t="s">
        <v>569</v>
      </c>
      <c r="CZ4" s="85" t="s">
        <v>570</v>
      </c>
      <c r="DA4" s="85" t="s">
        <v>571</v>
      </c>
      <c r="DB4" s="85" t="s">
        <v>572</v>
      </c>
      <c r="DC4" s="85" t="s">
        <v>573</v>
      </c>
      <c r="DD4" s="85" t="s">
        <v>574</v>
      </c>
      <c r="DE4" s="85" t="s">
        <v>575</v>
      </c>
      <c r="DF4" s="85" t="s">
        <v>576</v>
      </c>
      <c r="DG4" s="85" t="s">
        <v>577</v>
      </c>
    </row>
    <row r="5" spans="2:111">
      <c r="B5" s="184"/>
      <c r="G5" s="161"/>
      <c r="H5" s="87" t="s">
        <v>80</v>
      </c>
      <c r="I5" s="163"/>
      <c r="J5" s="163"/>
      <c r="K5" s="163"/>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4"/>
      <c r="BK5" s="164"/>
      <c r="BL5" s="164"/>
      <c r="BM5" s="164"/>
      <c r="BN5" s="164"/>
      <c r="BO5" s="164"/>
      <c r="BP5" s="164"/>
      <c r="BQ5" s="164"/>
      <c r="BR5" s="164"/>
      <c r="BS5" s="164"/>
      <c r="BT5" s="164"/>
      <c r="BU5" s="164"/>
      <c r="BV5" s="164"/>
      <c r="BW5" s="164"/>
      <c r="BX5" s="164"/>
      <c r="BY5" s="164"/>
      <c r="BZ5" s="164"/>
      <c r="CA5" s="164"/>
      <c r="CB5" s="164"/>
      <c r="CC5" s="164"/>
      <c r="CD5" s="164"/>
      <c r="CE5" s="164"/>
      <c r="CF5" s="164"/>
      <c r="CG5" s="164"/>
      <c r="CH5" s="164"/>
      <c r="CI5" s="164"/>
      <c r="CJ5" s="164"/>
      <c r="CK5" s="164"/>
      <c r="CL5" s="164"/>
      <c r="CM5" s="164"/>
      <c r="CN5" s="164"/>
      <c r="CO5" s="164"/>
      <c r="CP5" s="164"/>
      <c r="CQ5" s="164"/>
      <c r="CR5" s="164"/>
      <c r="CS5" s="164"/>
      <c r="CT5" s="164"/>
      <c r="CU5" s="164"/>
      <c r="CV5" s="164"/>
      <c r="CW5" s="164"/>
      <c r="CX5" s="164"/>
      <c r="CY5" s="164"/>
      <c r="CZ5" s="164"/>
      <c r="DA5" s="164"/>
      <c r="DB5" s="164"/>
      <c r="DC5" s="164"/>
      <c r="DD5" s="164"/>
      <c r="DE5" s="164"/>
      <c r="DF5" s="164"/>
      <c r="DG5" s="164"/>
    </row>
    <row r="6" spans="2:111" s="190" customFormat="1">
      <c r="G6" s="161"/>
      <c r="H6" s="84" t="s">
        <v>285</v>
      </c>
      <c r="I6" s="189" t="s">
        <v>286</v>
      </c>
      <c r="J6" s="189" t="s">
        <v>286</v>
      </c>
      <c r="K6" s="189" t="s">
        <v>286</v>
      </c>
      <c r="L6" s="189" t="s">
        <v>286</v>
      </c>
      <c r="M6" s="189" t="s">
        <v>286</v>
      </c>
      <c r="N6" s="189" t="s">
        <v>286</v>
      </c>
      <c r="O6" s="189" t="s">
        <v>286</v>
      </c>
      <c r="P6" s="189" t="s">
        <v>286</v>
      </c>
      <c r="Q6" s="189" t="s">
        <v>286</v>
      </c>
      <c r="R6" s="189" t="s">
        <v>286</v>
      </c>
      <c r="S6" s="189" t="s">
        <v>286</v>
      </c>
      <c r="T6" s="189" t="s">
        <v>286</v>
      </c>
      <c r="U6" s="189" t="s">
        <v>286</v>
      </c>
      <c r="V6" s="189" t="s">
        <v>286</v>
      </c>
      <c r="W6" s="189" t="s">
        <v>286</v>
      </c>
      <c r="X6" s="189" t="s">
        <v>286</v>
      </c>
      <c r="Y6" s="189" t="s">
        <v>286</v>
      </c>
      <c r="Z6" s="189" t="s">
        <v>286</v>
      </c>
      <c r="AA6" s="189" t="s">
        <v>286</v>
      </c>
      <c r="AB6" s="189" t="s">
        <v>286</v>
      </c>
      <c r="AC6" s="189" t="s">
        <v>286</v>
      </c>
      <c r="AD6" s="189" t="s">
        <v>286</v>
      </c>
      <c r="AE6" s="189" t="s">
        <v>286</v>
      </c>
      <c r="AF6" s="189" t="s">
        <v>286</v>
      </c>
      <c r="AG6" s="189" t="s">
        <v>86</v>
      </c>
      <c r="AH6" s="189" t="s">
        <v>86</v>
      </c>
      <c r="AI6" s="189" t="s">
        <v>86</v>
      </c>
      <c r="AJ6" s="189" t="s">
        <v>86</v>
      </c>
      <c r="AK6" s="189" t="s">
        <v>86</v>
      </c>
      <c r="AL6" s="189" t="s">
        <v>86</v>
      </c>
      <c r="AM6" s="189" t="s">
        <v>86</v>
      </c>
      <c r="AN6" s="189" t="s">
        <v>86</v>
      </c>
      <c r="AO6" s="189" t="s">
        <v>86</v>
      </c>
      <c r="AP6" s="189" t="s">
        <v>86</v>
      </c>
      <c r="AQ6" s="189" t="s">
        <v>86</v>
      </c>
      <c r="AR6" s="189" t="s">
        <v>86</v>
      </c>
      <c r="AS6" s="189" t="s">
        <v>86</v>
      </c>
      <c r="AT6" s="189" t="s">
        <v>86</v>
      </c>
      <c r="AU6" s="189" t="s">
        <v>86</v>
      </c>
      <c r="AV6" s="189" t="s">
        <v>86</v>
      </c>
      <c r="AW6" s="189" t="s">
        <v>86</v>
      </c>
      <c r="AX6" s="189" t="s">
        <v>86</v>
      </c>
      <c r="AY6" s="189" t="s">
        <v>86</v>
      </c>
      <c r="AZ6" s="189" t="s">
        <v>86</v>
      </c>
      <c r="BA6" s="189" t="s">
        <v>86</v>
      </c>
      <c r="BB6" s="189" t="s">
        <v>86</v>
      </c>
      <c r="BC6" s="189" t="s">
        <v>86</v>
      </c>
      <c r="BD6" s="189" t="s">
        <v>86</v>
      </c>
      <c r="BE6" s="189" t="s">
        <v>86</v>
      </c>
      <c r="BF6" s="189" t="s">
        <v>86</v>
      </c>
      <c r="BG6" s="189" t="s">
        <v>86</v>
      </c>
      <c r="BH6" s="189" t="s">
        <v>86</v>
      </c>
      <c r="BI6" s="189" t="s">
        <v>86</v>
      </c>
      <c r="BJ6" s="189" t="s">
        <v>86</v>
      </c>
      <c r="BK6" s="189" t="s">
        <v>86</v>
      </c>
      <c r="BL6" s="189" t="s">
        <v>86</v>
      </c>
      <c r="BM6" s="189" t="s">
        <v>86</v>
      </c>
      <c r="BN6" s="189" t="s">
        <v>86</v>
      </c>
      <c r="BO6" s="189" t="s">
        <v>86</v>
      </c>
      <c r="BP6" s="189" t="s">
        <v>86</v>
      </c>
      <c r="BQ6" s="189" t="s">
        <v>86</v>
      </c>
      <c r="BR6" s="189" t="s">
        <v>86</v>
      </c>
      <c r="BS6" s="189" t="s">
        <v>86</v>
      </c>
      <c r="BT6" s="189" t="s">
        <v>86</v>
      </c>
      <c r="BU6" s="189" t="s">
        <v>86</v>
      </c>
      <c r="BV6" s="189" t="s">
        <v>86</v>
      </c>
      <c r="BW6" s="189" t="s">
        <v>86</v>
      </c>
      <c r="BX6" s="189" t="s">
        <v>86</v>
      </c>
      <c r="BY6" s="189" t="s">
        <v>86</v>
      </c>
      <c r="BZ6" s="189" t="s">
        <v>86</v>
      </c>
      <c r="CA6" s="189" t="s">
        <v>86</v>
      </c>
      <c r="CB6" s="189" t="s">
        <v>86</v>
      </c>
      <c r="CC6" s="189" t="s">
        <v>86</v>
      </c>
      <c r="CD6" s="189" t="s">
        <v>86</v>
      </c>
      <c r="CE6" s="189" t="s">
        <v>86</v>
      </c>
      <c r="CF6" s="189" t="s">
        <v>86</v>
      </c>
      <c r="CG6" s="189" t="s">
        <v>86</v>
      </c>
      <c r="CH6" s="189" t="s">
        <v>85</v>
      </c>
      <c r="CI6" s="189" t="s">
        <v>85</v>
      </c>
      <c r="CJ6" s="189" t="s">
        <v>85</v>
      </c>
      <c r="CK6" s="189" t="s">
        <v>85</v>
      </c>
      <c r="CL6" s="189" t="s">
        <v>85</v>
      </c>
      <c r="CM6" s="189" t="s">
        <v>85</v>
      </c>
      <c r="CN6" s="189" t="s">
        <v>85</v>
      </c>
      <c r="CO6" s="189" t="s">
        <v>85</v>
      </c>
      <c r="CP6" s="189" t="s">
        <v>85</v>
      </c>
      <c r="CQ6" s="189" t="s">
        <v>85</v>
      </c>
      <c r="CR6" s="189" t="s">
        <v>85</v>
      </c>
      <c r="CS6" s="189" t="s">
        <v>85</v>
      </c>
      <c r="CT6" s="189" t="s">
        <v>85</v>
      </c>
      <c r="CU6" s="189" t="s">
        <v>85</v>
      </c>
      <c r="CV6" s="189" t="s">
        <v>85</v>
      </c>
      <c r="CW6" s="189" t="s">
        <v>85</v>
      </c>
      <c r="CX6" s="189" t="s">
        <v>85</v>
      </c>
      <c r="CY6" s="189" t="s">
        <v>85</v>
      </c>
      <c r="CZ6" s="189" t="s">
        <v>85</v>
      </c>
      <c r="DA6" s="189" t="s">
        <v>85</v>
      </c>
      <c r="DB6" s="189" t="s">
        <v>85</v>
      </c>
      <c r="DC6" s="189" t="s">
        <v>85</v>
      </c>
      <c r="DD6" s="189" t="s">
        <v>85</v>
      </c>
      <c r="DE6" s="189" t="s">
        <v>85</v>
      </c>
      <c r="DF6" s="189" t="s">
        <v>85</v>
      </c>
      <c r="DG6" s="189" t="s">
        <v>85</v>
      </c>
    </row>
    <row r="7" spans="2:111" ht="31.5">
      <c r="G7" s="162"/>
      <c r="H7" s="92" t="s">
        <v>1</v>
      </c>
      <c r="I7" s="191" t="s">
        <v>458</v>
      </c>
      <c r="J7" s="93" t="s">
        <v>459</v>
      </c>
      <c r="K7" s="93" t="s">
        <v>459</v>
      </c>
      <c r="L7" s="93" t="s">
        <v>83</v>
      </c>
      <c r="M7" s="191" t="s">
        <v>460</v>
      </c>
      <c r="N7" s="191" t="s">
        <v>84</v>
      </c>
      <c r="O7" s="191" t="s">
        <v>460</v>
      </c>
      <c r="P7" s="191" t="s">
        <v>460</v>
      </c>
      <c r="Q7" s="191" t="s">
        <v>460</v>
      </c>
      <c r="R7" s="191" t="s">
        <v>460</v>
      </c>
      <c r="S7" s="191" t="s">
        <v>460</v>
      </c>
      <c r="T7" s="191" t="s">
        <v>460</v>
      </c>
      <c r="U7" s="191" t="s">
        <v>460</v>
      </c>
      <c r="V7" s="191" t="s">
        <v>460</v>
      </c>
      <c r="W7" s="191" t="s">
        <v>460</v>
      </c>
      <c r="X7" s="191" t="s">
        <v>460</v>
      </c>
      <c r="Y7" s="191" t="s">
        <v>460</v>
      </c>
      <c r="Z7" s="191" t="s">
        <v>460</v>
      </c>
      <c r="AA7" s="191" t="s">
        <v>460</v>
      </c>
      <c r="AB7" s="191" t="s">
        <v>460</v>
      </c>
      <c r="AC7" s="191" t="s">
        <v>460</v>
      </c>
      <c r="AD7" s="191" t="s">
        <v>460</v>
      </c>
      <c r="AE7" s="191" t="s">
        <v>460</v>
      </c>
      <c r="AF7" s="191" t="s">
        <v>460</v>
      </c>
      <c r="AG7" s="191" t="s">
        <v>461</v>
      </c>
      <c r="AH7" s="191" t="s">
        <v>461</v>
      </c>
      <c r="AI7" s="191" t="s">
        <v>461</v>
      </c>
      <c r="AJ7" s="191" t="s">
        <v>461</v>
      </c>
      <c r="AK7" s="93" t="s">
        <v>462</v>
      </c>
      <c r="AL7" s="93" t="s">
        <v>462</v>
      </c>
      <c r="AM7" s="93" t="s">
        <v>462</v>
      </c>
      <c r="AN7" s="93" t="s">
        <v>462</v>
      </c>
      <c r="AO7" s="93" t="s">
        <v>462</v>
      </c>
      <c r="AP7" s="93" t="s">
        <v>462</v>
      </c>
      <c r="AQ7" s="93" t="s">
        <v>462</v>
      </c>
      <c r="AR7" s="93" t="s">
        <v>462</v>
      </c>
      <c r="AS7" s="93" t="s">
        <v>462</v>
      </c>
      <c r="AT7" s="93" t="s">
        <v>462</v>
      </c>
      <c r="AU7" s="93" t="s">
        <v>462</v>
      </c>
      <c r="AV7" s="93" t="s">
        <v>462</v>
      </c>
      <c r="AW7" s="93" t="s">
        <v>462</v>
      </c>
      <c r="AX7" s="93" t="s">
        <v>462</v>
      </c>
      <c r="AY7" s="93" t="s">
        <v>462</v>
      </c>
      <c r="AZ7" s="93" t="s">
        <v>462</v>
      </c>
      <c r="BA7" s="93" t="s">
        <v>462</v>
      </c>
      <c r="BB7" s="93" t="s">
        <v>462</v>
      </c>
      <c r="BC7" s="93" t="s">
        <v>462</v>
      </c>
      <c r="BD7" s="93" t="s">
        <v>462</v>
      </c>
      <c r="BE7" s="93" t="s">
        <v>462</v>
      </c>
      <c r="BF7" s="93" t="s">
        <v>462</v>
      </c>
      <c r="BG7" s="93" t="s">
        <v>462</v>
      </c>
      <c r="BH7" s="93" t="s">
        <v>462</v>
      </c>
      <c r="BI7" s="93" t="s">
        <v>462</v>
      </c>
      <c r="BJ7" s="93" t="s">
        <v>462</v>
      </c>
      <c r="BK7" s="93" t="s">
        <v>462</v>
      </c>
      <c r="BL7" s="93" t="s">
        <v>462</v>
      </c>
      <c r="BM7" s="93" t="s">
        <v>462</v>
      </c>
      <c r="BN7" s="93" t="s">
        <v>462</v>
      </c>
      <c r="BO7" s="93" t="s">
        <v>462</v>
      </c>
      <c r="BP7" s="93" t="s">
        <v>462</v>
      </c>
      <c r="BQ7" s="93" t="s">
        <v>462</v>
      </c>
      <c r="BR7" s="93" t="s">
        <v>462</v>
      </c>
      <c r="BS7" s="93" t="s">
        <v>462</v>
      </c>
      <c r="BT7" s="93" t="s">
        <v>462</v>
      </c>
      <c r="BU7" s="93" t="s">
        <v>462</v>
      </c>
      <c r="BV7" s="93" t="s">
        <v>462</v>
      </c>
      <c r="BW7" s="93" t="s">
        <v>462</v>
      </c>
      <c r="BX7" s="93" t="s">
        <v>462</v>
      </c>
      <c r="BY7" s="93" t="s">
        <v>462</v>
      </c>
      <c r="BZ7" s="93" t="s">
        <v>462</v>
      </c>
      <c r="CA7" s="93" t="s">
        <v>462</v>
      </c>
      <c r="CB7" s="93" t="s">
        <v>462</v>
      </c>
      <c r="CC7" s="93" t="s">
        <v>462</v>
      </c>
      <c r="CD7" s="93" t="s">
        <v>462</v>
      </c>
      <c r="CE7" s="93" t="s">
        <v>462</v>
      </c>
      <c r="CF7" s="93" t="s">
        <v>462</v>
      </c>
      <c r="CG7" s="93" t="s">
        <v>462</v>
      </c>
      <c r="CH7" s="93" t="s">
        <v>463</v>
      </c>
      <c r="CI7" s="93" t="s">
        <v>472</v>
      </c>
      <c r="CJ7" s="93" t="s">
        <v>578</v>
      </c>
      <c r="CK7" s="93" t="s">
        <v>579</v>
      </c>
      <c r="CL7" s="93" t="s">
        <v>580</v>
      </c>
      <c r="CM7" s="93" t="s">
        <v>581</v>
      </c>
      <c r="CN7" s="93" t="s">
        <v>465</v>
      </c>
      <c r="CO7" s="93" t="s">
        <v>467</v>
      </c>
      <c r="CP7" s="93" t="s">
        <v>468</v>
      </c>
      <c r="CQ7" s="93" t="s">
        <v>466</v>
      </c>
      <c r="CR7" s="93" t="s">
        <v>287</v>
      </c>
      <c r="CS7" s="93" t="s">
        <v>464</v>
      </c>
      <c r="CT7" s="93" t="s">
        <v>467</v>
      </c>
      <c r="CU7" s="93" t="s">
        <v>471</v>
      </c>
      <c r="CV7" s="93" t="s">
        <v>469</v>
      </c>
      <c r="CW7" s="93" t="s">
        <v>287</v>
      </c>
      <c r="CX7" s="93" t="s">
        <v>287</v>
      </c>
      <c r="CY7" s="93" t="s">
        <v>470</v>
      </c>
      <c r="CZ7" s="93" t="s">
        <v>287</v>
      </c>
      <c r="DA7" s="93" t="s">
        <v>287</v>
      </c>
      <c r="DB7" s="93" t="s">
        <v>287</v>
      </c>
      <c r="DC7" s="93" t="s">
        <v>287</v>
      </c>
      <c r="DD7" s="93" t="s">
        <v>582</v>
      </c>
      <c r="DE7" s="93" t="s">
        <v>583</v>
      </c>
      <c r="DF7" s="93" t="s">
        <v>583</v>
      </c>
      <c r="DG7" s="93" t="s">
        <v>473</v>
      </c>
    </row>
    <row r="8" spans="2:111" ht="21">
      <c r="B8" s="231" t="s">
        <v>197</v>
      </c>
      <c r="C8" s="232"/>
      <c r="D8" s="233"/>
      <c r="E8" s="237" t="s">
        <v>270</v>
      </c>
      <c r="F8" s="238"/>
      <c r="G8" s="239"/>
      <c r="H8" s="224" t="s">
        <v>251</v>
      </c>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c r="BF8" s="225"/>
      <c r="BG8" s="225"/>
      <c r="BH8" s="225"/>
      <c r="BI8" s="225"/>
      <c r="BJ8" s="225"/>
      <c r="BK8" s="225"/>
      <c r="BL8" s="225"/>
      <c r="BM8" s="225"/>
      <c r="BN8" s="225"/>
      <c r="BO8" s="225"/>
      <c r="BP8" s="225"/>
      <c r="BQ8" s="225"/>
      <c r="BR8" s="225"/>
      <c r="BS8" s="225"/>
      <c r="BT8" s="225"/>
      <c r="BU8" s="225"/>
      <c r="BV8" s="225"/>
      <c r="BW8" s="225"/>
      <c r="BX8" s="225"/>
      <c r="BY8" s="225"/>
      <c r="BZ8" s="225"/>
      <c r="CA8" s="225"/>
      <c r="CB8" s="225"/>
      <c r="CC8" s="225"/>
      <c r="CD8" s="225"/>
      <c r="CE8" s="225"/>
      <c r="CF8" s="225"/>
      <c r="CG8" s="225"/>
      <c r="CH8" s="225"/>
      <c r="CI8" s="225"/>
      <c r="CJ8" s="225"/>
      <c r="CK8" s="225"/>
      <c r="CL8" s="225"/>
      <c r="CM8" s="225"/>
      <c r="CN8" s="225"/>
      <c r="CO8" s="225"/>
      <c r="CP8" s="225"/>
      <c r="CQ8" s="225"/>
      <c r="CR8" s="225"/>
      <c r="CS8" s="225"/>
      <c r="CT8" s="225"/>
      <c r="CU8" s="225"/>
      <c r="CV8" s="225"/>
      <c r="CW8" s="225"/>
      <c r="CX8" s="225"/>
      <c r="CY8" s="225"/>
      <c r="CZ8" s="225"/>
      <c r="DA8" s="225"/>
      <c r="DB8" s="225"/>
      <c r="DC8" s="225"/>
      <c r="DD8" s="225"/>
      <c r="DE8" s="225"/>
      <c r="DF8" s="225"/>
      <c r="DG8" s="225"/>
    </row>
    <row r="9" spans="2:111" ht="82.5" customHeight="1">
      <c r="B9" s="234" t="s">
        <v>280</v>
      </c>
      <c r="C9" s="235"/>
      <c r="D9" s="236"/>
      <c r="E9" s="234" t="s">
        <v>281</v>
      </c>
      <c r="F9" s="235"/>
      <c r="G9" s="236"/>
      <c r="H9" s="226" t="s">
        <v>301</v>
      </c>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7"/>
      <c r="AS9" s="227"/>
      <c r="AT9" s="227"/>
      <c r="AU9" s="227"/>
      <c r="AV9" s="227"/>
      <c r="AW9" s="227"/>
      <c r="AX9" s="227"/>
      <c r="AY9" s="227"/>
      <c r="AZ9" s="227"/>
      <c r="BA9" s="227"/>
      <c r="BB9" s="227"/>
      <c r="BC9" s="227"/>
      <c r="BD9" s="227"/>
      <c r="BE9" s="227"/>
      <c r="BF9" s="227"/>
      <c r="BG9" s="227"/>
      <c r="BH9" s="227"/>
      <c r="BI9" s="227"/>
      <c r="BJ9" s="227"/>
      <c r="BK9" s="227"/>
      <c r="BL9" s="227"/>
      <c r="BM9" s="227"/>
      <c r="BN9" s="227"/>
      <c r="BO9" s="227"/>
      <c r="BP9" s="227"/>
      <c r="BQ9" s="227"/>
      <c r="BR9" s="227"/>
      <c r="BS9" s="227"/>
      <c r="BT9" s="227"/>
      <c r="BU9" s="227"/>
      <c r="BV9" s="227"/>
      <c r="BW9" s="227"/>
      <c r="BX9" s="227"/>
      <c r="BY9" s="227"/>
      <c r="BZ9" s="227"/>
      <c r="CA9" s="227"/>
      <c r="CB9" s="227"/>
      <c r="CC9" s="227"/>
      <c r="CD9" s="227"/>
      <c r="CE9" s="227"/>
      <c r="CF9" s="227"/>
      <c r="CG9" s="227"/>
      <c r="CH9" s="227"/>
      <c r="CI9" s="227"/>
      <c r="CJ9" s="227"/>
      <c r="CK9" s="227"/>
      <c r="CL9" s="227"/>
      <c r="CM9" s="227"/>
      <c r="CN9" s="227"/>
      <c r="CO9" s="227"/>
      <c r="CP9" s="227"/>
      <c r="CQ9" s="227"/>
      <c r="CR9" s="227"/>
      <c r="CS9" s="227"/>
      <c r="CT9" s="227"/>
      <c r="CU9" s="227"/>
      <c r="CV9" s="227"/>
      <c r="CW9" s="227"/>
      <c r="CX9" s="227"/>
      <c r="CY9" s="227"/>
      <c r="CZ9" s="227"/>
      <c r="DA9" s="227"/>
      <c r="DB9" s="227"/>
      <c r="DC9" s="227"/>
      <c r="DD9" s="227"/>
      <c r="DE9" s="227"/>
      <c r="DF9" s="227"/>
      <c r="DG9" s="227"/>
    </row>
    <row r="10" spans="2:111" ht="47.25">
      <c r="B10" s="95" t="s">
        <v>290</v>
      </c>
      <c r="C10" s="144" t="s">
        <v>291</v>
      </c>
      <c r="D10" s="13" t="s">
        <v>111</v>
      </c>
      <c r="E10" s="14" t="s">
        <v>11</v>
      </c>
      <c r="F10" s="20" t="s">
        <v>239</v>
      </c>
      <c r="G10" s="13" t="s">
        <v>247</v>
      </c>
      <c r="H10" s="129" t="s">
        <v>78</v>
      </c>
      <c r="I10" s="98">
        <f t="shared" ref="I10:AJ10" si="0">SUM(I13:I67)</f>
        <v>444884690844.21075</v>
      </c>
      <c r="J10" s="98">
        <f t="shared" si="0"/>
        <v>744369911994.33862</v>
      </c>
      <c r="K10" s="98">
        <f t="shared" si="0"/>
        <v>568920117223.94128</v>
      </c>
      <c r="L10" s="98">
        <f t="shared" si="0"/>
        <v>5173627</v>
      </c>
      <c r="M10" s="98">
        <f t="shared" si="0"/>
        <v>8226969740.79</v>
      </c>
      <c r="N10" s="98">
        <f t="shared" si="0"/>
        <v>298462861554.29199</v>
      </c>
      <c r="O10" s="98">
        <f t="shared" si="0"/>
        <v>4519885648.8000002</v>
      </c>
      <c r="P10" s="98">
        <f t="shared" si="0"/>
        <v>18269604253.869999</v>
      </c>
      <c r="Q10" s="98">
        <f t="shared" si="0"/>
        <v>6117876447.8764505</v>
      </c>
      <c r="R10" s="98">
        <f t="shared" si="0"/>
        <v>5157369.8455598475</v>
      </c>
      <c r="S10" s="98">
        <f t="shared" si="0"/>
        <v>7689600000</v>
      </c>
      <c r="T10" s="98">
        <f t="shared" si="0"/>
        <v>3548948813.4099998</v>
      </c>
      <c r="U10" s="98">
        <f t="shared" si="0"/>
        <v>2600335089.8899999</v>
      </c>
      <c r="V10" s="98">
        <f t="shared" si="0"/>
        <v>6246279</v>
      </c>
      <c r="W10" s="98">
        <f t="shared" si="0"/>
        <v>3665990065.1399999</v>
      </c>
      <c r="X10" s="98">
        <f t="shared" si="0"/>
        <v>25514240</v>
      </c>
      <c r="Y10" s="98">
        <f t="shared" si="0"/>
        <v>1362412800</v>
      </c>
      <c r="Z10" s="98">
        <f t="shared" si="0"/>
        <v>514002900.88</v>
      </c>
      <c r="AA10" s="98">
        <f t="shared" si="0"/>
        <v>319815012.92000002</v>
      </c>
      <c r="AB10" s="98">
        <f t="shared" si="0"/>
        <v>3386172024.0100002</v>
      </c>
      <c r="AC10" s="98">
        <f t="shared" si="0"/>
        <v>660662078.90999997</v>
      </c>
      <c r="AD10" s="98">
        <f t="shared" si="0"/>
        <v>446964137.63999999</v>
      </c>
      <c r="AE10" s="98">
        <f t="shared" si="0"/>
        <v>1294095996.5599999</v>
      </c>
      <c r="AF10" s="98">
        <f t="shared" si="0"/>
        <v>448441218.74000001</v>
      </c>
      <c r="AG10" s="98">
        <f t="shared" si="0"/>
        <v>2073475687.5320473</v>
      </c>
      <c r="AH10" s="98">
        <f t="shared" si="0"/>
        <v>218768014257.46848</v>
      </c>
      <c r="AI10" s="98">
        <f t="shared" si="0"/>
        <v>156174308454.64322</v>
      </c>
      <c r="AJ10" s="98">
        <f t="shared" si="0"/>
        <v>14072959036.167809</v>
      </c>
      <c r="AK10" s="98">
        <f t="shared" ref="AK10:BP10" si="1">SUM(AK13:AK69)</f>
        <v>14940090390.779772</v>
      </c>
      <c r="AL10" s="98">
        <f t="shared" si="1"/>
        <v>14385924194.670002</v>
      </c>
      <c r="AM10" s="98">
        <f t="shared" si="1"/>
        <v>12341069417.939999</v>
      </c>
      <c r="AN10" s="98">
        <f t="shared" si="1"/>
        <v>11506774625.540798</v>
      </c>
      <c r="AO10" s="98">
        <f t="shared" si="1"/>
        <v>9967597106.0999985</v>
      </c>
      <c r="AP10" s="98">
        <f t="shared" si="1"/>
        <v>8709886466.0200005</v>
      </c>
      <c r="AQ10" s="98">
        <f t="shared" si="1"/>
        <v>9767406629.1000023</v>
      </c>
      <c r="AR10" s="98">
        <f t="shared" si="1"/>
        <v>8159318972.7599993</v>
      </c>
      <c r="AS10" s="98">
        <f t="shared" si="1"/>
        <v>7863321623.4000006</v>
      </c>
      <c r="AT10" s="98">
        <f t="shared" si="1"/>
        <v>7744177119.7799997</v>
      </c>
      <c r="AU10" s="98">
        <f t="shared" si="1"/>
        <v>7288004561.1799994</v>
      </c>
      <c r="AV10" s="98">
        <f t="shared" si="1"/>
        <v>10583700719.219999</v>
      </c>
      <c r="AW10" s="98">
        <f t="shared" si="1"/>
        <v>5504292406.1199989</v>
      </c>
      <c r="AX10" s="98">
        <f t="shared" si="1"/>
        <v>8748743974.2999992</v>
      </c>
      <c r="AY10" s="98">
        <f t="shared" si="1"/>
        <v>5013978650.54</v>
      </c>
      <c r="AZ10" s="98">
        <f t="shared" si="1"/>
        <v>5082712402.5199995</v>
      </c>
      <c r="BA10" s="98">
        <f t="shared" si="1"/>
        <v>5108544579.2599993</v>
      </c>
      <c r="BB10" s="98">
        <f t="shared" si="1"/>
        <v>1042062114.3274</v>
      </c>
      <c r="BC10" s="98">
        <f t="shared" si="1"/>
        <v>3226892098.1309996</v>
      </c>
      <c r="BD10" s="98">
        <f t="shared" si="1"/>
        <v>2490074849.8199997</v>
      </c>
      <c r="BE10" s="98">
        <f t="shared" si="1"/>
        <v>3907555958.2400002</v>
      </c>
      <c r="BF10" s="98">
        <f t="shared" si="1"/>
        <v>2226853071.0082002</v>
      </c>
      <c r="BG10" s="98">
        <f t="shared" si="1"/>
        <v>1539104818.7000003</v>
      </c>
      <c r="BH10" s="98">
        <f t="shared" si="1"/>
        <v>1620212881.9200001</v>
      </c>
      <c r="BI10" s="98">
        <f t="shared" si="1"/>
        <v>1430671497.5199997</v>
      </c>
      <c r="BJ10" s="98">
        <f t="shared" si="1"/>
        <v>577306682.25999999</v>
      </c>
      <c r="BK10" s="98">
        <f t="shared" si="1"/>
        <v>5897448778.6999998</v>
      </c>
      <c r="BL10" s="98">
        <f t="shared" si="1"/>
        <v>4485939656.2799997</v>
      </c>
      <c r="BM10" s="98">
        <f t="shared" si="1"/>
        <v>4129882412.4800005</v>
      </c>
      <c r="BN10" s="98">
        <f t="shared" si="1"/>
        <v>7440355729.96</v>
      </c>
      <c r="BO10" s="98">
        <f t="shared" si="1"/>
        <v>3056193397.7800002</v>
      </c>
      <c r="BP10" s="98">
        <f t="shared" si="1"/>
        <v>3167398811.7599993</v>
      </c>
      <c r="BQ10" s="98">
        <f t="shared" ref="BQ10:CV10" si="2">SUM(BQ13:BQ69)</f>
        <v>281162000</v>
      </c>
      <c r="BR10" s="98">
        <f t="shared" si="2"/>
        <v>2528432060.48</v>
      </c>
      <c r="BS10" s="98">
        <f t="shared" si="2"/>
        <v>3216806142.8600001</v>
      </c>
      <c r="BT10" s="98">
        <f t="shared" si="2"/>
        <v>2050901668.6599998</v>
      </c>
      <c r="BU10" s="98">
        <f t="shared" si="2"/>
        <v>5608963824</v>
      </c>
      <c r="BV10" s="98">
        <f t="shared" si="2"/>
        <v>366631572.70000005</v>
      </c>
      <c r="BW10" s="98">
        <f t="shared" si="2"/>
        <v>81657659</v>
      </c>
      <c r="BX10" s="98">
        <f t="shared" si="2"/>
        <v>2561641757.7799993</v>
      </c>
      <c r="BY10" s="98">
        <f t="shared" si="2"/>
        <v>41025688</v>
      </c>
      <c r="BZ10" s="98">
        <f t="shared" si="2"/>
        <v>4453095228.5446405</v>
      </c>
      <c r="CA10" s="98">
        <f t="shared" si="2"/>
        <v>2171170258.3400002</v>
      </c>
      <c r="CB10" s="98">
        <f t="shared" si="2"/>
        <v>1182108560.5999999</v>
      </c>
      <c r="CC10" s="98">
        <f t="shared" si="2"/>
        <v>1183737914.5600002</v>
      </c>
      <c r="CD10" s="98">
        <f t="shared" si="2"/>
        <v>1132607674.6199999</v>
      </c>
      <c r="CE10" s="98">
        <f t="shared" si="2"/>
        <v>1621997331.2</v>
      </c>
      <c r="CF10" s="98">
        <f t="shared" si="2"/>
        <v>444410222.44</v>
      </c>
      <c r="CG10" s="98">
        <f t="shared" si="2"/>
        <v>219802787.74000001</v>
      </c>
      <c r="CH10" s="98">
        <f t="shared" si="2"/>
        <v>12362065914.68</v>
      </c>
      <c r="CI10" s="98">
        <f t="shared" si="2"/>
        <v>249940599.45200774</v>
      </c>
      <c r="CJ10" s="98">
        <f t="shared" si="2"/>
        <v>47404418.6722394</v>
      </c>
      <c r="CK10" s="98">
        <f t="shared" si="2"/>
        <v>1944170903.3050201</v>
      </c>
      <c r="CL10" s="98">
        <f t="shared" si="2"/>
        <v>1132741044.9439771</v>
      </c>
      <c r="CM10" s="98">
        <f t="shared" si="2"/>
        <v>12389054.561853286</v>
      </c>
      <c r="CN10" s="98">
        <f t="shared" si="2"/>
        <v>1418684892.8663709</v>
      </c>
      <c r="CO10" s="98">
        <f t="shared" si="2"/>
        <v>376569067.41999996</v>
      </c>
      <c r="CP10" s="98">
        <f t="shared" si="2"/>
        <v>723845750.96000004</v>
      </c>
      <c r="CQ10" s="98">
        <f t="shared" si="2"/>
        <v>435220000.72586888</v>
      </c>
      <c r="CR10" s="98">
        <f t="shared" si="2"/>
        <v>654632396.13</v>
      </c>
      <c r="CS10" s="98">
        <f t="shared" si="2"/>
        <v>130381120</v>
      </c>
      <c r="CT10" s="98">
        <f t="shared" si="2"/>
        <v>491354089.81999999</v>
      </c>
      <c r="CU10" s="98">
        <f t="shared" si="2"/>
        <v>3066032740.8100004</v>
      </c>
      <c r="CV10" s="98">
        <f t="shared" si="2"/>
        <v>700358189.49000001</v>
      </c>
      <c r="CW10" s="98">
        <f t="shared" ref="CW10:DG10" si="3">SUM(CW13:CW69)</f>
        <v>8765896</v>
      </c>
      <c r="CX10" s="98">
        <f t="shared" si="3"/>
        <v>44460698</v>
      </c>
      <c r="CY10" s="98">
        <f t="shared" si="3"/>
        <v>24870650.440000001</v>
      </c>
      <c r="CZ10" s="98">
        <f t="shared" si="3"/>
        <v>842135526.14999998</v>
      </c>
      <c r="DA10" s="98">
        <f t="shared" si="3"/>
        <v>48375471.18</v>
      </c>
      <c r="DB10" s="98">
        <f t="shared" si="3"/>
        <v>1128414874</v>
      </c>
      <c r="DC10" s="98">
        <f t="shared" si="3"/>
        <v>243290347.16</v>
      </c>
      <c r="DD10" s="98">
        <f t="shared" si="3"/>
        <v>229842061.07999998</v>
      </c>
      <c r="DE10" s="98">
        <f t="shared" si="3"/>
        <v>78122701.719999999</v>
      </c>
      <c r="DF10" s="98">
        <f t="shared" si="3"/>
        <v>11788541</v>
      </c>
      <c r="DG10" s="98">
        <f t="shared" si="3"/>
        <v>74287778</v>
      </c>
    </row>
    <row r="11" spans="2:111">
      <c r="B11" s="130" t="s">
        <v>118</v>
      </c>
      <c r="C11" s="145" t="s">
        <v>119</v>
      </c>
      <c r="D11" s="3"/>
      <c r="E11" s="16"/>
      <c r="F11" s="21"/>
      <c r="G11" s="25"/>
      <c r="H11" s="126"/>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1"/>
      <c r="CN11" s="131"/>
      <c r="CO11" s="131"/>
      <c r="CP11" s="131"/>
      <c r="CQ11" s="131"/>
      <c r="CR11" s="131"/>
      <c r="CS11" s="131"/>
      <c r="CT11" s="131"/>
      <c r="CU11" s="131"/>
      <c r="CV11" s="131"/>
      <c r="CW11" s="131"/>
      <c r="CX11" s="131"/>
      <c r="CY11" s="131"/>
      <c r="CZ11" s="131"/>
      <c r="DA11" s="131"/>
      <c r="DB11" s="131"/>
      <c r="DC11" s="131"/>
      <c r="DD11" s="131"/>
      <c r="DE11" s="131"/>
      <c r="DF11" s="131"/>
      <c r="DG11" s="131"/>
    </row>
    <row r="12" spans="2:111">
      <c r="B12" s="132" t="s">
        <v>120</v>
      </c>
      <c r="C12" s="168" t="s">
        <v>121</v>
      </c>
      <c r="D12" s="2"/>
      <c r="E12" s="16"/>
      <c r="F12" s="21"/>
      <c r="G12" s="25"/>
      <c r="H12" s="126"/>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row>
    <row r="13" spans="2:111" ht="31.5">
      <c r="B13" s="133" t="s">
        <v>122</v>
      </c>
      <c r="C13" s="154" t="s">
        <v>123</v>
      </c>
      <c r="D13" s="12" t="s">
        <v>606</v>
      </c>
      <c r="E13" s="16" t="s">
        <v>474</v>
      </c>
      <c r="F13" s="21" t="s">
        <v>586</v>
      </c>
      <c r="G13" s="25">
        <f>40740475148.67+222414717393.26+6134533474+4377920086+1288893524+7501600349</f>
        <v>282458139974.92999</v>
      </c>
      <c r="H13" s="126">
        <f>SUM(I13:DG13)</f>
        <v>270476383099.92999</v>
      </c>
      <c r="I13" s="131"/>
      <c r="J13" s="131">
        <v>164698812</v>
      </c>
      <c r="K13" s="131"/>
      <c r="L13" s="131"/>
      <c r="M13" s="131">
        <v>8226969740.79</v>
      </c>
      <c r="N13" s="131">
        <v>14238110587.4</v>
      </c>
      <c r="O13" s="131"/>
      <c r="P13" s="131">
        <v>18110696008.48</v>
      </c>
      <c r="Q13" s="131"/>
      <c r="R13" s="131"/>
      <c r="S13" s="131"/>
      <c r="T13" s="131"/>
      <c r="U13" s="131"/>
      <c r="V13" s="131"/>
      <c r="W13" s="131"/>
      <c r="X13" s="131"/>
      <c r="Y13" s="131"/>
      <c r="Z13" s="131"/>
      <c r="AA13" s="131"/>
      <c r="AB13" s="131"/>
      <c r="AC13" s="131"/>
      <c r="AD13" s="131"/>
      <c r="AE13" s="131"/>
      <c r="AF13" s="131"/>
      <c r="AG13" s="131"/>
      <c r="AH13" s="131">
        <v>145010895801.87</v>
      </c>
      <c r="AI13" s="131">
        <v>77403821591.389999</v>
      </c>
      <c r="AJ13" s="131"/>
      <c r="AK13" s="131">
        <v>385000000</v>
      </c>
      <c r="AL13" s="131">
        <v>6329607</v>
      </c>
      <c r="AM13" s="131">
        <v>411852019</v>
      </c>
      <c r="AN13" s="131">
        <v>260956292</v>
      </c>
      <c r="AO13" s="131"/>
      <c r="AP13" s="131">
        <v>2503145</v>
      </c>
      <c r="AQ13" s="131">
        <v>179293978</v>
      </c>
      <c r="AR13" s="131">
        <v>68764600</v>
      </c>
      <c r="AS13" s="131">
        <v>5605202</v>
      </c>
      <c r="AT13" s="131"/>
      <c r="AU13" s="131">
        <v>2000000</v>
      </c>
      <c r="AV13" s="131">
        <v>641221710</v>
      </c>
      <c r="AW13" s="131"/>
      <c r="AX13" s="131">
        <v>1800811391</v>
      </c>
      <c r="AY13" s="131">
        <v>3950392</v>
      </c>
      <c r="AZ13" s="131">
        <v>359639988</v>
      </c>
      <c r="BA13" s="131">
        <v>1375645</v>
      </c>
      <c r="BB13" s="131"/>
      <c r="BC13" s="131">
        <v>157692510</v>
      </c>
      <c r="BD13" s="131">
        <v>11089688</v>
      </c>
      <c r="BE13" s="131"/>
      <c r="BF13" s="131">
        <v>2896088</v>
      </c>
      <c r="BG13" s="131"/>
      <c r="BH13" s="131"/>
      <c r="BI13" s="131">
        <v>3157438</v>
      </c>
      <c r="BJ13" s="131"/>
      <c r="BK13" s="131">
        <v>186048501</v>
      </c>
      <c r="BL13" s="131">
        <v>58365973</v>
      </c>
      <c r="BM13" s="131">
        <v>41471670</v>
      </c>
      <c r="BN13" s="131">
        <v>53690889</v>
      </c>
      <c r="BO13" s="131"/>
      <c r="BP13" s="131">
        <v>66953853</v>
      </c>
      <c r="BQ13" s="131"/>
      <c r="BR13" s="131">
        <v>1905703</v>
      </c>
      <c r="BS13" s="131">
        <v>221246275</v>
      </c>
      <c r="BT13" s="131"/>
      <c r="BU13" s="131">
        <v>924569626</v>
      </c>
      <c r="BV13" s="131">
        <v>500000</v>
      </c>
      <c r="BW13" s="131">
        <v>4096188</v>
      </c>
      <c r="BX13" s="131">
        <v>34029837</v>
      </c>
      <c r="BY13" s="131"/>
      <c r="BZ13" s="131">
        <v>191704892</v>
      </c>
      <c r="CA13" s="131">
        <v>38652291</v>
      </c>
      <c r="CB13" s="131"/>
      <c r="CC13" s="131"/>
      <c r="CD13" s="131">
        <v>38427</v>
      </c>
      <c r="CE13" s="131">
        <v>2444877</v>
      </c>
      <c r="CF13" s="131">
        <v>436775</v>
      </c>
      <c r="CG13" s="131">
        <v>3162464</v>
      </c>
      <c r="CH13" s="131">
        <v>395951020</v>
      </c>
      <c r="CI13" s="131">
        <v>60876766</v>
      </c>
      <c r="CJ13" s="131"/>
      <c r="CK13" s="131"/>
      <c r="CL13" s="131"/>
      <c r="CM13" s="131"/>
      <c r="CN13" s="131"/>
      <c r="CO13" s="131">
        <v>4015701</v>
      </c>
      <c r="CP13" s="131"/>
      <c r="CQ13" s="131">
        <v>23581592</v>
      </c>
      <c r="CR13" s="131">
        <v>36549545</v>
      </c>
      <c r="CS13" s="131"/>
      <c r="CT13" s="131"/>
      <c r="CU13" s="131"/>
      <c r="CV13" s="131">
        <v>107061630</v>
      </c>
      <c r="CW13" s="131">
        <v>2713547</v>
      </c>
      <c r="CX13" s="131">
        <v>17091371</v>
      </c>
      <c r="CY13" s="131">
        <v>8506904</v>
      </c>
      <c r="CZ13" s="131">
        <v>119916611</v>
      </c>
      <c r="DA13" s="131">
        <v>12076753</v>
      </c>
      <c r="DB13" s="131">
        <v>272705886</v>
      </c>
      <c r="DC13" s="131">
        <v>52845875</v>
      </c>
      <c r="DD13" s="131">
        <v>39415419</v>
      </c>
      <c r="DE13" s="131">
        <v>24779925</v>
      </c>
      <c r="DF13" s="131">
        <v>8543361</v>
      </c>
      <c r="DG13" s="131">
        <v>1100718</v>
      </c>
    </row>
    <row r="14" spans="2:111" ht="31.5">
      <c r="B14" s="133" t="s">
        <v>122</v>
      </c>
      <c r="C14" s="154" t="s">
        <v>123</v>
      </c>
      <c r="D14" s="12" t="s">
        <v>299</v>
      </c>
      <c r="E14" s="16" t="s">
        <v>475</v>
      </c>
      <c r="F14" s="21" t="s">
        <v>586</v>
      </c>
      <c r="G14" s="25">
        <v>1819717946.4400001</v>
      </c>
      <c r="H14" s="126">
        <f>SUM(I14:DG14)</f>
        <v>1819717946.4400001</v>
      </c>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v>1781683852.5599999</v>
      </c>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v>38034093.880000003</v>
      </c>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row>
    <row r="15" spans="2:111" ht="78.75">
      <c r="B15" s="133" t="s">
        <v>122</v>
      </c>
      <c r="C15" s="154" t="s">
        <v>123</v>
      </c>
      <c r="D15" s="12" t="s">
        <v>606</v>
      </c>
      <c r="E15" s="16" t="s">
        <v>476</v>
      </c>
      <c r="F15" s="21" t="s">
        <v>595</v>
      </c>
      <c r="G15" s="25">
        <f>67314749353.1572+6770875537.14224+41353324562+244080055733+3505507700+9320793974</f>
        <v>372345306859.29944</v>
      </c>
      <c r="H15" s="126">
        <f>SUM(I15:DG15)</f>
        <v>77592208130.299438</v>
      </c>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v>4336008301.7797718</v>
      </c>
      <c r="AL15" s="131">
        <v>3962067393.5599999</v>
      </c>
      <c r="AM15" s="131">
        <f>3643304801.08+210109256</f>
        <v>3853414057.0799999</v>
      </c>
      <c r="AN15" s="131">
        <v>3472028901.3000002</v>
      </c>
      <c r="AO15" s="131">
        <v>3035161557.7800002</v>
      </c>
      <c r="AP15" s="131">
        <v>2610227535.0599999</v>
      </c>
      <c r="AQ15" s="131">
        <f>2601503815.28+1561283</f>
        <v>2603065098.2800002</v>
      </c>
      <c r="AR15" s="131">
        <v>2464310128.54</v>
      </c>
      <c r="AS15" s="131">
        <f>2399005097.24+2481298.5</f>
        <v>2401486395.7399998</v>
      </c>
      <c r="AT15" s="131">
        <f>2156137807.44+1075540</f>
        <v>2157213347.4400001</v>
      </c>
      <c r="AU15" s="131">
        <v>2169771043.6399999</v>
      </c>
      <c r="AV15" s="131">
        <f>2363539335.86+1215060</f>
        <v>2364754395.8600001</v>
      </c>
      <c r="AW15" s="131">
        <v>1609873117.0799999</v>
      </c>
      <c r="AX15" s="131">
        <v>4917444532.2600002</v>
      </c>
      <c r="AY15" s="131">
        <f>1613807279.22+692281</f>
        <v>1614499560.22</v>
      </c>
      <c r="AZ15" s="131">
        <v>2585225665.1000004</v>
      </c>
      <c r="BA15" s="131">
        <f>1387408441.46</f>
        <v>1387408441.46</v>
      </c>
      <c r="BB15" s="131">
        <v>64306662.079999998</v>
      </c>
      <c r="BC15" s="131">
        <f>1599376816+273846304.431</f>
        <v>1873223120.431</v>
      </c>
      <c r="BD15" s="131">
        <v>581255446.42000008</v>
      </c>
      <c r="BE15" s="131">
        <v>495886304.46000004</v>
      </c>
      <c r="BF15" s="131">
        <v>455976315.75999999</v>
      </c>
      <c r="BG15" s="131">
        <v>479920681.82000005</v>
      </c>
      <c r="BH15" s="131">
        <v>531203277</v>
      </c>
      <c r="BI15" s="131">
        <v>475185656.60000002</v>
      </c>
      <c r="BJ15" s="131">
        <v>5444568.6600000001</v>
      </c>
      <c r="BK15" s="131">
        <f>1585329858.9+472736790</f>
        <v>2058066648.9000001</v>
      </c>
      <c r="BL15" s="131">
        <f>1281317790.04+141262369</f>
        <v>1422580159.04</v>
      </c>
      <c r="BM15" s="131">
        <v>1034609549.4000001</v>
      </c>
      <c r="BN15" s="131">
        <v>3358860249.9200001</v>
      </c>
      <c r="BO15" s="131">
        <v>891634244.86000001</v>
      </c>
      <c r="BP15" s="131">
        <v>1045862899.26</v>
      </c>
      <c r="BQ15" s="131"/>
      <c r="BR15" s="131">
        <v>774232993.36000001</v>
      </c>
      <c r="BS15" s="131">
        <f>2115688244.9+449089228</f>
        <v>2564777472.9000001</v>
      </c>
      <c r="BT15" s="131">
        <v>617386356.54000008</v>
      </c>
      <c r="BU15" s="131">
        <f>104344+4168910590</f>
        <v>4169014934</v>
      </c>
      <c r="BV15" s="131">
        <v>10235239.220000001</v>
      </c>
      <c r="BW15" s="131">
        <v>54624866.5</v>
      </c>
      <c r="BX15" s="131">
        <f>163194454.54+185710451.76</f>
        <v>348904906.29999995</v>
      </c>
      <c r="BY15" s="131">
        <v>37755446</v>
      </c>
      <c r="BZ15" s="131">
        <f>337493593.5974+738147702.45124</f>
        <v>1075641296.04864</v>
      </c>
      <c r="CA15" s="131">
        <f>363340844.46+125112923</f>
        <v>488453767.45999998</v>
      </c>
      <c r="CB15" s="131">
        <v>725371046.01999998</v>
      </c>
      <c r="CC15" s="131">
        <v>348995392.06</v>
      </c>
      <c r="CD15" s="131">
        <v>169178365.66</v>
      </c>
      <c r="CE15" s="131">
        <v>259819103.20000002</v>
      </c>
      <c r="CF15" s="131">
        <v>53941950.120000005</v>
      </c>
      <c r="CG15" s="131">
        <v>70392038.120000005</v>
      </c>
      <c r="CH15" s="131"/>
      <c r="CI15" s="131">
        <v>30430108</v>
      </c>
      <c r="CJ15" s="131"/>
      <c r="CK15" s="131"/>
      <c r="CL15" s="131">
        <v>26846861</v>
      </c>
      <c r="CM15" s="131"/>
      <c r="CN15" s="131"/>
      <c r="CO15" s="131">
        <v>11907581</v>
      </c>
      <c r="CP15" s="131">
        <v>136413000</v>
      </c>
      <c r="CQ15" s="131"/>
      <c r="CR15" s="131">
        <v>24813807</v>
      </c>
      <c r="CS15" s="131"/>
      <c r="CT15" s="131"/>
      <c r="CU15" s="131">
        <v>2219946000</v>
      </c>
      <c r="CV15" s="131">
        <v>3600879</v>
      </c>
      <c r="CW15" s="131">
        <v>4065715</v>
      </c>
      <c r="CX15" s="131">
        <v>9489621</v>
      </c>
      <c r="CY15" s="131">
        <v>7424431</v>
      </c>
      <c r="CZ15" s="131">
        <v>642559328</v>
      </c>
      <c r="DA15" s="131"/>
      <c r="DB15" s="131">
        <v>204431014</v>
      </c>
      <c r="DC15" s="131">
        <v>183579355</v>
      </c>
      <c r="DD15" s="131"/>
      <c r="DE15" s="131"/>
      <c r="DF15" s="131"/>
      <c r="DG15" s="131"/>
    </row>
    <row r="16" spans="2:111" ht="31.5">
      <c r="B16" s="133" t="s">
        <v>122</v>
      </c>
      <c r="C16" s="154" t="s">
        <v>123</v>
      </c>
      <c r="D16" s="12" t="s">
        <v>300</v>
      </c>
      <c r="E16" s="16" t="s">
        <v>477</v>
      </c>
      <c r="F16" s="21" t="s">
        <v>586</v>
      </c>
      <c r="G16" s="25">
        <v>33708244</v>
      </c>
      <c r="H16" s="126">
        <f>SUM(I16:DG16)</f>
        <v>0</v>
      </c>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row>
    <row r="17" spans="2:111">
      <c r="B17" s="133" t="s">
        <v>124</v>
      </c>
      <c r="C17" s="154" t="s">
        <v>125</v>
      </c>
      <c r="D17" s="12" t="s">
        <v>272</v>
      </c>
      <c r="E17" s="16"/>
      <c r="F17" s="81"/>
      <c r="G17" s="25"/>
      <c r="H17" s="126"/>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row>
    <row r="18" spans="2:111">
      <c r="B18" s="133" t="s">
        <v>126</v>
      </c>
      <c r="C18" s="151" t="s">
        <v>127</v>
      </c>
      <c r="D18" s="12" t="s">
        <v>272</v>
      </c>
      <c r="E18" s="16"/>
      <c r="F18" s="21"/>
      <c r="G18" s="25"/>
      <c r="H18" s="126">
        <f>SUM(I18:DG18)</f>
        <v>0</v>
      </c>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row>
    <row r="19" spans="2:111">
      <c r="B19" s="133" t="s">
        <v>128</v>
      </c>
      <c r="C19" s="151" t="s">
        <v>129</v>
      </c>
      <c r="D19" s="12" t="s">
        <v>272</v>
      </c>
      <c r="E19" s="16"/>
      <c r="F19" s="21"/>
      <c r="G19" s="25"/>
      <c r="H19" s="126">
        <f>SUM(I19:DG19)</f>
        <v>0</v>
      </c>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row>
    <row r="20" spans="2:111">
      <c r="B20" s="134" t="s">
        <v>130</v>
      </c>
      <c r="C20" s="150" t="s">
        <v>131</v>
      </c>
      <c r="D20" s="2"/>
      <c r="E20" s="16"/>
      <c r="F20" s="21"/>
      <c r="G20" s="25"/>
      <c r="H20" s="126"/>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row>
    <row r="21" spans="2:111" ht="31.5">
      <c r="B21" s="133" t="s">
        <v>132</v>
      </c>
      <c r="C21" s="152" t="s">
        <v>133</v>
      </c>
      <c r="D21" s="12" t="s">
        <v>272</v>
      </c>
      <c r="E21" s="16"/>
      <c r="F21" s="21"/>
      <c r="G21" s="25"/>
      <c r="H21" s="126">
        <f>SUM(I21:DG21)</f>
        <v>0</v>
      </c>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c r="BG21" s="131"/>
      <c r="BH21" s="131"/>
      <c r="BI21" s="131"/>
      <c r="BJ21" s="131"/>
      <c r="BK21" s="131"/>
      <c r="BL21" s="131"/>
      <c r="BM21" s="131"/>
      <c r="BN21" s="131"/>
      <c r="BO21" s="131"/>
      <c r="BP21" s="131"/>
      <c r="BQ21" s="131"/>
      <c r="BR21" s="131"/>
      <c r="BS21" s="131"/>
      <c r="BT21" s="131"/>
      <c r="BU21" s="131"/>
      <c r="BV21" s="131"/>
      <c r="BW21" s="131"/>
      <c r="BX21" s="131"/>
      <c r="BY21" s="131"/>
      <c r="BZ21" s="131"/>
      <c r="CA21" s="131"/>
      <c r="CB21" s="131"/>
      <c r="CC21" s="131"/>
      <c r="CD21" s="131"/>
      <c r="CE21" s="131"/>
      <c r="CF21" s="131"/>
      <c r="CG21" s="131"/>
      <c r="CH21" s="131"/>
      <c r="CI21" s="131"/>
      <c r="CJ21" s="131"/>
      <c r="CK21" s="131"/>
      <c r="CL21" s="131"/>
      <c r="CM21" s="131"/>
      <c r="CN21" s="131"/>
      <c r="CO21" s="131"/>
      <c r="CP21" s="131"/>
      <c r="CQ21" s="131"/>
      <c r="CR21" s="131"/>
      <c r="CS21" s="131"/>
      <c r="CT21" s="131"/>
      <c r="CU21" s="131"/>
      <c r="CV21" s="131"/>
      <c r="CW21" s="131"/>
      <c r="CX21" s="131"/>
      <c r="CY21" s="131"/>
      <c r="CZ21" s="131"/>
      <c r="DA21" s="131"/>
      <c r="DB21" s="131"/>
      <c r="DC21" s="131"/>
      <c r="DD21" s="131"/>
      <c r="DE21" s="131"/>
      <c r="DF21" s="131"/>
      <c r="DG21" s="131"/>
    </row>
    <row r="22" spans="2:111" ht="31.5">
      <c r="B22" s="133" t="s">
        <v>132</v>
      </c>
      <c r="C22" s="152" t="s">
        <v>133</v>
      </c>
      <c r="D22" s="12" t="s">
        <v>299</v>
      </c>
      <c r="E22" s="16" t="s">
        <v>478</v>
      </c>
      <c r="F22" s="21" t="s">
        <v>586</v>
      </c>
      <c r="G22" s="25">
        <v>2619827258.8455601</v>
      </c>
      <c r="H22" s="126">
        <f>SUM(I22:DG22)</f>
        <v>2619827258.8455601</v>
      </c>
      <c r="I22" s="131"/>
      <c r="J22" s="131">
        <v>150000</v>
      </c>
      <c r="K22" s="131">
        <v>2603099983</v>
      </c>
      <c r="L22" s="131">
        <v>5173627</v>
      </c>
      <c r="M22" s="131"/>
      <c r="N22" s="131"/>
      <c r="O22" s="131"/>
      <c r="P22" s="131"/>
      <c r="Q22" s="131"/>
      <c r="R22" s="131">
        <v>5157369.8455598475</v>
      </c>
      <c r="S22" s="131"/>
      <c r="T22" s="131"/>
      <c r="U22" s="131"/>
      <c r="V22" s="131">
        <v>6246279</v>
      </c>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31"/>
      <c r="BR22" s="131"/>
      <c r="BS22" s="131"/>
      <c r="BT22" s="131"/>
      <c r="BU22" s="131"/>
      <c r="BV22" s="131"/>
      <c r="BW22" s="131"/>
      <c r="BX22" s="131"/>
      <c r="BY22" s="131"/>
      <c r="BZ22" s="131"/>
      <c r="CA22" s="131"/>
      <c r="CB22" s="131"/>
      <c r="CC22" s="131"/>
      <c r="CD22" s="131"/>
      <c r="CE22" s="131"/>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c r="DC22" s="131"/>
      <c r="DD22" s="131"/>
      <c r="DE22" s="131"/>
      <c r="DF22" s="131"/>
      <c r="DG22" s="131"/>
    </row>
    <row r="23" spans="2:111">
      <c r="B23" s="133" t="s">
        <v>134</v>
      </c>
      <c r="C23" s="152" t="s">
        <v>135</v>
      </c>
      <c r="D23" s="12" t="s">
        <v>272</v>
      </c>
      <c r="E23" s="16"/>
      <c r="F23" s="21"/>
      <c r="G23" s="25"/>
      <c r="H23" s="126">
        <f>SUM(I23:DG23)</f>
        <v>0</v>
      </c>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c r="BG23" s="131"/>
      <c r="BH23" s="131"/>
      <c r="BI23" s="131"/>
      <c r="BJ23" s="131"/>
      <c r="BK23" s="131"/>
      <c r="BL23" s="131"/>
      <c r="BM23" s="131"/>
      <c r="BN23" s="131"/>
      <c r="BO23" s="131"/>
      <c r="BP23" s="131"/>
      <c r="BQ23" s="131"/>
      <c r="BR23" s="131"/>
      <c r="BS23" s="131"/>
      <c r="BT23" s="131"/>
      <c r="BU23" s="131"/>
      <c r="BV23" s="131"/>
      <c r="BW23" s="131"/>
      <c r="BX23" s="131"/>
      <c r="BY23" s="131"/>
      <c r="BZ23" s="131"/>
      <c r="CA23" s="131"/>
      <c r="CB23" s="131"/>
      <c r="CC23" s="131"/>
      <c r="CD23" s="131"/>
      <c r="CE23" s="131"/>
      <c r="CF23" s="131"/>
      <c r="CG23" s="131"/>
      <c r="CH23" s="131"/>
      <c r="CI23" s="131"/>
      <c r="CJ23" s="131"/>
      <c r="CK23" s="131"/>
      <c r="CL23" s="131"/>
      <c r="CM23" s="131"/>
      <c r="CN23" s="131"/>
      <c r="CO23" s="131"/>
      <c r="CP23" s="131"/>
      <c r="CQ23" s="131"/>
      <c r="CR23" s="131"/>
      <c r="CS23" s="131"/>
      <c r="CT23" s="131"/>
      <c r="CU23" s="131"/>
      <c r="CV23" s="131"/>
      <c r="CW23" s="131"/>
      <c r="CX23" s="131"/>
      <c r="CY23" s="131"/>
      <c r="CZ23" s="131"/>
      <c r="DA23" s="131"/>
      <c r="DB23" s="131"/>
      <c r="DC23" s="131"/>
      <c r="DD23" s="131"/>
      <c r="DE23" s="131"/>
      <c r="DF23" s="131"/>
      <c r="DG23" s="131"/>
    </row>
    <row r="24" spans="2:111" ht="31.5">
      <c r="B24" s="134" t="s">
        <v>138</v>
      </c>
      <c r="C24" s="153" t="s">
        <v>139</v>
      </c>
      <c r="D24" s="3"/>
      <c r="E24" s="16"/>
      <c r="F24" s="21"/>
      <c r="G24" s="25"/>
      <c r="H24" s="126"/>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c r="AW24" s="131"/>
      <c r="AX24" s="131"/>
      <c r="AY24" s="131"/>
      <c r="AZ24" s="131"/>
      <c r="BA24" s="131"/>
      <c r="BB24" s="131"/>
      <c r="BC24" s="131"/>
      <c r="BD24" s="131"/>
      <c r="BE24" s="131"/>
      <c r="BF24" s="131"/>
      <c r="BG24" s="131"/>
      <c r="BH24" s="131"/>
      <c r="BI24" s="131"/>
      <c r="BJ24" s="131"/>
      <c r="BK24" s="131"/>
      <c r="BL24" s="131"/>
      <c r="BM24" s="131"/>
      <c r="BN24" s="131"/>
      <c r="BO24" s="131"/>
      <c r="BP24" s="131"/>
      <c r="BQ24" s="131"/>
      <c r="BR24" s="131"/>
      <c r="BS24" s="131"/>
      <c r="BT24" s="131"/>
      <c r="BU24" s="131"/>
      <c r="BV24" s="131"/>
      <c r="BW24" s="131"/>
      <c r="BX24" s="131"/>
      <c r="BY24" s="131"/>
      <c r="BZ24" s="131"/>
      <c r="CA24" s="131"/>
      <c r="CB24" s="131"/>
      <c r="CC24" s="131"/>
      <c r="CD24" s="131"/>
      <c r="CE24" s="131"/>
      <c r="CF24" s="131"/>
      <c r="CG24" s="131"/>
      <c r="CH24" s="131"/>
      <c r="CI24" s="131"/>
      <c r="CJ24" s="131"/>
      <c r="CK24" s="131"/>
      <c r="CL24" s="131"/>
      <c r="CM24" s="131"/>
      <c r="CN24" s="131"/>
      <c r="CO24" s="131"/>
      <c r="CP24" s="131"/>
      <c r="CQ24" s="131"/>
      <c r="CR24" s="131"/>
      <c r="CS24" s="131"/>
      <c r="CT24" s="131"/>
      <c r="CU24" s="131"/>
      <c r="CV24" s="131"/>
      <c r="CW24" s="131"/>
      <c r="CX24" s="131"/>
      <c r="CY24" s="131"/>
      <c r="CZ24" s="131"/>
      <c r="DA24" s="131"/>
      <c r="DB24" s="131"/>
      <c r="DC24" s="131"/>
      <c r="DD24" s="131"/>
      <c r="DE24" s="131"/>
      <c r="DF24" s="131"/>
      <c r="DG24" s="131"/>
    </row>
    <row r="25" spans="2:111">
      <c r="B25" s="133" t="s">
        <v>140</v>
      </c>
      <c r="C25" s="154" t="s">
        <v>141</v>
      </c>
      <c r="D25" s="12" t="s">
        <v>272</v>
      </c>
      <c r="E25" s="16"/>
      <c r="F25" s="21"/>
      <c r="G25" s="26"/>
      <c r="H25" s="126">
        <f>SUM(I25:DG25)</f>
        <v>0</v>
      </c>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c r="BG25" s="131"/>
      <c r="BH25" s="131"/>
      <c r="BI25" s="131"/>
      <c r="BJ25" s="131"/>
      <c r="BK25" s="131"/>
      <c r="BL25" s="131"/>
      <c r="BM25" s="131"/>
      <c r="BN25" s="131"/>
      <c r="BO25" s="131"/>
      <c r="BP25" s="131"/>
      <c r="BQ25" s="131"/>
      <c r="BR25" s="131"/>
      <c r="BS25" s="131"/>
      <c r="BT25" s="131"/>
      <c r="BU25" s="131"/>
      <c r="BV25" s="131"/>
      <c r="BW25" s="131"/>
      <c r="BX25" s="131"/>
      <c r="BY25" s="131"/>
      <c r="BZ25" s="131"/>
      <c r="CA25" s="131"/>
      <c r="CB25" s="131"/>
      <c r="CC25" s="131"/>
      <c r="CD25" s="131"/>
      <c r="CE25" s="131"/>
      <c r="CF25" s="131"/>
      <c r="CG25" s="131"/>
      <c r="CH25" s="131"/>
      <c r="CI25" s="131"/>
      <c r="CJ25" s="131"/>
      <c r="CK25" s="131"/>
      <c r="CL25" s="131"/>
      <c r="CM25" s="131"/>
      <c r="CN25" s="131"/>
      <c r="CO25" s="131"/>
      <c r="CP25" s="131"/>
      <c r="CQ25" s="131"/>
      <c r="CR25" s="131"/>
      <c r="CS25" s="131"/>
      <c r="CT25" s="131"/>
      <c r="CU25" s="131"/>
      <c r="CV25" s="131"/>
      <c r="CW25" s="131"/>
      <c r="CX25" s="131"/>
      <c r="CY25" s="131"/>
      <c r="CZ25" s="131"/>
      <c r="DA25" s="131"/>
      <c r="DB25" s="131"/>
      <c r="DC25" s="131"/>
      <c r="DD25" s="131"/>
      <c r="DE25" s="131"/>
      <c r="DF25" s="131"/>
      <c r="DG25" s="131"/>
    </row>
    <row r="26" spans="2:111">
      <c r="B26" s="133" t="s">
        <v>142</v>
      </c>
      <c r="C26" s="154" t="s">
        <v>143</v>
      </c>
      <c r="D26" s="12" t="s">
        <v>272</v>
      </c>
      <c r="E26" s="16"/>
      <c r="F26" s="21"/>
      <c r="G26" s="25"/>
      <c r="H26" s="126">
        <f>SUM(I26:DG26)</f>
        <v>0</v>
      </c>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c r="BG26" s="131"/>
      <c r="BH26" s="131"/>
      <c r="BI26" s="131"/>
      <c r="BJ26" s="131"/>
      <c r="BK26" s="131"/>
      <c r="BL26" s="131"/>
      <c r="BM26" s="131"/>
      <c r="BN26" s="131"/>
      <c r="BO26" s="131"/>
      <c r="BP26" s="131"/>
      <c r="BQ26" s="131"/>
      <c r="BR26" s="131"/>
      <c r="BS26" s="131"/>
      <c r="BT26" s="131"/>
      <c r="BU26" s="131"/>
      <c r="BV26" s="131"/>
      <c r="BW26" s="131"/>
      <c r="BX26" s="131"/>
      <c r="BY26" s="131"/>
      <c r="BZ26" s="131"/>
      <c r="CA26" s="131"/>
      <c r="CB26" s="131"/>
      <c r="CC26" s="131"/>
      <c r="CD26" s="131"/>
      <c r="CE26" s="131"/>
      <c r="CF26" s="131"/>
      <c r="CG26" s="131"/>
      <c r="CH26" s="131"/>
      <c r="CI26" s="131"/>
      <c r="CJ26" s="131"/>
      <c r="CK26" s="131"/>
      <c r="CL26" s="131"/>
      <c r="CM26" s="131"/>
      <c r="CN26" s="131"/>
      <c r="CO26" s="131"/>
      <c r="CP26" s="131"/>
      <c r="CQ26" s="131"/>
      <c r="CR26" s="131"/>
      <c r="CS26" s="131"/>
      <c r="CT26" s="131"/>
      <c r="CU26" s="131"/>
      <c r="CV26" s="131"/>
      <c r="CW26" s="131"/>
      <c r="CX26" s="131"/>
      <c r="CY26" s="131"/>
      <c r="CZ26" s="131"/>
      <c r="DA26" s="131"/>
      <c r="DB26" s="131"/>
      <c r="DC26" s="131"/>
      <c r="DD26" s="131"/>
      <c r="DE26" s="131"/>
      <c r="DF26" s="131"/>
      <c r="DG26" s="131"/>
    </row>
    <row r="27" spans="2:111">
      <c r="B27" s="133" t="s">
        <v>144</v>
      </c>
      <c r="C27" s="154" t="s">
        <v>145</v>
      </c>
      <c r="D27" s="12" t="s">
        <v>272</v>
      </c>
      <c r="E27" s="16"/>
      <c r="F27" s="21"/>
      <c r="G27" s="25"/>
      <c r="H27" s="126">
        <f>SUM(I27:DG27)</f>
        <v>0</v>
      </c>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c r="CZ27" s="131"/>
      <c r="DA27" s="131"/>
      <c r="DB27" s="131"/>
      <c r="DC27" s="131"/>
      <c r="DD27" s="131"/>
      <c r="DE27" s="131"/>
      <c r="DF27" s="131"/>
      <c r="DG27" s="131"/>
    </row>
    <row r="28" spans="2:111">
      <c r="B28" s="132" t="s">
        <v>146</v>
      </c>
      <c r="C28" s="150" t="s">
        <v>147</v>
      </c>
      <c r="D28" s="3"/>
      <c r="E28" s="16"/>
      <c r="F28" s="21"/>
      <c r="G28" s="25"/>
      <c r="H28" s="126"/>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row>
    <row r="29" spans="2:111">
      <c r="B29" s="133" t="s">
        <v>148</v>
      </c>
      <c r="C29" s="152" t="s">
        <v>149</v>
      </c>
      <c r="D29" s="12" t="s">
        <v>299</v>
      </c>
      <c r="E29" s="16" t="s">
        <v>479</v>
      </c>
      <c r="F29" s="21" t="s">
        <v>480</v>
      </c>
      <c r="G29" s="25">
        <f>499736250+509433245</f>
        <v>1009169495</v>
      </c>
      <c r="H29" s="126">
        <f>SUM(I29:DG29)</f>
        <v>1009169495</v>
      </c>
      <c r="I29" s="131"/>
      <c r="J29" s="131">
        <v>499736250</v>
      </c>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c r="BG29" s="131"/>
      <c r="BH29" s="131"/>
      <c r="BI29" s="131"/>
      <c r="BJ29" s="131"/>
      <c r="BK29" s="131"/>
      <c r="BL29" s="131"/>
      <c r="BM29" s="131"/>
      <c r="BN29" s="131"/>
      <c r="BO29" s="131"/>
      <c r="BP29" s="131"/>
      <c r="BQ29" s="131"/>
      <c r="BR29" s="131"/>
      <c r="BS29" s="131"/>
      <c r="BT29" s="131"/>
      <c r="BU29" s="131"/>
      <c r="BV29" s="131"/>
      <c r="BW29" s="131"/>
      <c r="BX29" s="131"/>
      <c r="BY29" s="131"/>
      <c r="BZ29" s="131"/>
      <c r="CA29" s="131"/>
      <c r="CB29" s="131"/>
      <c r="CC29" s="131"/>
      <c r="CD29" s="131"/>
      <c r="CE29" s="131"/>
      <c r="CF29" s="131"/>
      <c r="CG29" s="131"/>
      <c r="CH29" s="131"/>
      <c r="CI29" s="131"/>
      <c r="CJ29" s="131"/>
      <c r="CK29" s="131"/>
      <c r="CL29" s="131"/>
      <c r="CM29" s="131"/>
      <c r="CN29" s="131"/>
      <c r="CO29" s="131"/>
      <c r="CP29" s="131"/>
      <c r="CQ29" s="131"/>
      <c r="CR29" s="131"/>
      <c r="CS29" s="131"/>
      <c r="CT29" s="131"/>
      <c r="CU29" s="131">
        <v>478939443</v>
      </c>
      <c r="CV29" s="131"/>
      <c r="CW29" s="131"/>
      <c r="CX29" s="131"/>
      <c r="CY29" s="131"/>
      <c r="CZ29" s="131"/>
      <c r="DA29" s="131">
        <v>30493802</v>
      </c>
      <c r="DB29" s="131"/>
      <c r="DC29" s="131"/>
      <c r="DD29" s="131"/>
      <c r="DE29" s="131"/>
      <c r="DF29" s="131"/>
      <c r="DG29" s="131"/>
    </row>
    <row r="30" spans="2:111">
      <c r="B30" s="133" t="s">
        <v>148</v>
      </c>
      <c r="C30" s="152" t="s">
        <v>149</v>
      </c>
      <c r="D30" s="12" t="s">
        <v>606</v>
      </c>
      <c r="E30" s="16" t="s">
        <v>481</v>
      </c>
      <c r="F30" s="21" t="s">
        <v>480</v>
      </c>
      <c r="G30" s="25">
        <f>27420913+9320937+3318099193+2985923707+1225365997.61+8025002211</f>
        <v>15591132958.610001</v>
      </c>
      <c r="H30" s="126">
        <f>SUM(I30:DG30)</f>
        <v>4580207040.6099997</v>
      </c>
      <c r="I30" s="131"/>
      <c r="J30" s="131"/>
      <c r="K30" s="131">
        <v>27420913</v>
      </c>
      <c r="L30" s="131"/>
      <c r="M30" s="131"/>
      <c r="N30" s="131"/>
      <c r="O30" s="131"/>
      <c r="P30" s="131"/>
      <c r="Q30" s="131"/>
      <c r="R30" s="131"/>
      <c r="S30" s="131"/>
      <c r="T30" s="131"/>
      <c r="U30" s="131"/>
      <c r="V30" s="131"/>
      <c r="W30" s="131"/>
      <c r="X30" s="131"/>
      <c r="Y30" s="131"/>
      <c r="Z30" s="131"/>
      <c r="AA30" s="131"/>
      <c r="AB30" s="131"/>
      <c r="AC30" s="131"/>
      <c r="AD30" s="131"/>
      <c r="AE30" s="131"/>
      <c r="AF30" s="131"/>
      <c r="AG30" s="131">
        <v>9320937</v>
      </c>
      <c r="AH30" s="131"/>
      <c r="AI30" s="131"/>
      <c r="AJ30" s="131"/>
      <c r="AK30" s="131"/>
      <c r="AL30" s="131"/>
      <c r="AM30" s="131">
        <v>106049356</v>
      </c>
      <c r="AN30" s="131">
        <v>5033352</v>
      </c>
      <c r="AO30" s="131"/>
      <c r="AP30" s="131"/>
      <c r="AQ30" s="131">
        <v>66337134</v>
      </c>
      <c r="AR30" s="131">
        <v>71223104</v>
      </c>
      <c r="AS30" s="131">
        <v>1671317</v>
      </c>
      <c r="AT30" s="131"/>
      <c r="AU30" s="131"/>
      <c r="AV30" s="131">
        <v>374823558</v>
      </c>
      <c r="AW30" s="131"/>
      <c r="AX30" s="131">
        <v>4917671</v>
      </c>
      <c r="AY30" s="131">
        <v>11700236</v>
      </c>
      <c r="AZ30" s="131">
        <v>32728989</v>
      </c>
      <c r="BA30" s="131"/>
      <c r="BB30" s="131"/>
      <c r="BC30" s="131">
        <v>44083964</v>
      </c>
      <c r="BD30" s="131"/>
      <c r="BE30" s="131"/>
      <c r="BF30" s="131"/>
      <c r="BG30" s="131"/>
      <c r="BH30" s="131"/>
      <c r="BI30" s="131"/>
      <c r="BJ30" s="131"/>
      <c r="BK30" s="131">
        <v>233631964</v>
      </c>
      <c r="BL30" s="131">
        <v>30985120</v>
      </c>
      <c r="BM30" s="131"/>
      <c r="BN30" s="131">
        <v>2765655</v>
      </c>
      <c r="BO30" s="131"/>
      <c r="BP30" s="131">
        <v>29986697</v>
      </c>
      <c r="BQ30" s="131"/>
      <c r="BR30" s="131"/>
      <c r="BS30" s="131">
        <v>72467674</v>
      </c>
      <c r="BT30" s="131"/>
      <c r="BU30" s="131">
        <v>515205350</v>
      </c>
      <c r="BV30" s="131"/>
      <c r="BW30" s="131">
        <v>596194</v>
      </c>
      <c r="BX30" s="131">
        <v>1706896477</v>
      </c>
      <c r="BY30" s="131"/>
      <c r="BZ30" s="131"/>
      <c r="CA30" s="131">
        <v>651097</v>
      </c>
      <c r="CB30" s="131"/>
      <c r="CC30" s="131"/>
      <c r="CD30" s="131"/>
      <c r="CE30" s="131"/>
      <c r="CF30" s="131"/>
      <c r="CG30" s="131">
        <v>6344284</v>
      </c>
      <c r="CH30" s="131">
        <v>144576001.88</v>
      </c>
      <c r="CI30" s="131">
        <v>57741356.25</v>
      </c>
      <c r="CJ30" s="131"/>
      <c r="CK30" s="131"/>
      <c r="CL30" s="131">
        <v>2640934.25</v>
      </c>
      <c r="CM30" s="131"/>
      <c r="CN30" s="131">
        <v>5803953</v>
      </c>
      <c r="CO30" s="131">
        <v>165025.01999999999</v>
      </c>
      <c r="CP30" s="131">
        <v>53760.959999999999</v>
      </c>
      <c r="CQ30" s="131"/>
      <c r="CR30" s="131">
        <v>124786400</v>
      </c>
      <c r="CS30" s="131">
        <v>124786400</v>
      </c>
      <c r="CT30" s="131">
        <v>168791492.81999999</v>
      </c>
      <c r="CU30" s="131">
        <v>39069065.010000005</v>
      </c>
      <c r="CV30" s="131">
        <v>521414780.49000001</v>
      </c>
      <c r="CW30" s="131"/>
      <c r="CX30" s="131"/>
      <c r="CY30" s="131">
        <v>3886515.44</v>
      </c>
      <c r="CZ30" s="131">
        <v>18874581.149999999</v>
      </c>
      <c r="DA30" s="131">
        <v>5804916.1799999997</v>
      </c>
      <c r="DB30" s="131">
        <v>105698</v>
      </c>
      <c r="DC30" s="131">
        <v>6865117.1600000001</v>
      </c>
      <c r="DD30" s="131"/>
      <c r="DE30" s="131"/>
      <c r="DF30" s="131"/>
      <c r="DG30" s="131"/>
    </row>
    <row r="31" spans="2:111">
      <c r="B31" s="133" t="s">
        <v>150</v>
      </c>
      <c r="C31" s="152" t="s">
        <v>151</v>
      </c>
      <c r="D31" s="12" t="s">
        <v>272</v>
      </c>
      <c r="E31" s="16"/>
      <c r="F31" s="21"/>
      <c r="G31" s="25"/>
      <c r="H31" s="126">
        <f>SUM(I31:DG31)</f>
        <v>0</v>
      </c>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94"/>
      <c r="DB31" s="131"/>
      <c r="DC31" s="131"/>
      <c r="DD31" s="131"/>
      <c r="DE31" s="131"/>
      <c r="DF31" s="131"/>
      <c r="DG31" s="131"/>
    </row>
    <row r="32" spans="2:111">
      <c r="B32" s="133" t="s">
        <v>152</v>
      </c>
      <c r="C32" s="152" t="s">
        <v>153</v>
      </c>
      <c r="D32" s="12" t="s">
        <v>272</v>
      </c>
      <c r="E32" s="16"/>
      <c r="F32" s="21"/>
      <c r="G32" s="25"/>
      <c r="H32" s="126">
        <f>SUM(I32:DG32)</f>
        <v>0</v>
      </c>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c r="AW32" s="131"/>
      <c r="AX32" s="131"/>
      <c r="AY32" s="131"/>
      <c r="AZ32" s="131"/>
      <c r="BA32" s="131"/>
      <c r="BB32" s="131"/>
      <c r="BC32" s="131"/>
      <c r="BD32" s="131"/>
      <c r="BE32" s="131"/>
      <c r="BF32" s="131"/>
      <c r="BG32" s="131"/>
      <c r="BH32" s="131"/>
      <c r="BI32" s="131"/>
      <c r="BJ32" s="131"/>
      <c r="BK32" s="131"/>
      <c r="BL32" s="131"/>
      <c r="BM32" s="131"/>
      <c r="BN32" s="131"/>
      <c r="BO32" s="131"/>
      <c r="BP32" s="131"/>
      <c r="BQ32" s="131"/>
      <c r="BR32" s="131"/>
      <c r="BS32" s="131"/>
      <c r="BT32" s="131"/>
      <c r="BU32" s="131"/>
      <c r="BV32" s="131"/>
      <c r="BW32" s="131"/>
      <c r="BX32" s="131"/>
      <c r="BY32" s="131"/>
      <c r="BZ32" s="131"/>
      <c r="CA32" s="131"/>
      <c r="CB32" s="131"/>
      <c r="CC32" s="131"/>
      <c r="CD32" s="131"/>
      <c r="CE32" s="131"/>
      <c r="CF32" s="131"/>
      <c r="CG32" s="131"/>
      <c r="CH32" s="131"/>
      <c r="CI32" s="131"/>
      <c r="CJ32" s="131"/>
      <c r="CK32" s="131"/>
      <c r="CL32" s="131"/>
      <c r="CM32" s="131"/>
      <c r="CN32" s="131"/>
      <c r="CO32" s="131"/>
      <c r="CP32" s="131"/>
      <c r="CQ32" s="131"/>
      <c r="CR32" s="131"/>
      <c r="CS32" s="131"/>
      <c r="CT32" s="131"/>
      <c r="CU32" s="131"/>
      <c r="CV32" s="131"/>
      <c r="CW32" s="131"/>
      <c r="CX32" s="131"/>
      <c r="CY32" s="131"/>
      <c r="CZ32" s="131"/>
      <c r="DA32" s="131"/>
      <c r="DB32" s="131"/>
      <c r="DC32" s="131"/>
      <c r="DD32" s="131"/>
      <c r="DE32" s="131"/>
      <c r="DF32" s="131"/>
      <c r="DG32" s="131"/>
    </row>
    <row r="33" spans="2:111">
      <c r="B33" s="133" t="s">
        <v>154</v>
      </c>
      <c r="C33" s="151" t="s">
        <v>155</v>
      </c>
      <c r="D33" s="12" t="s">
        <v>272</v>
      </c>
      <c r="E33" s="16"/>
      <c r="F33" s="21"/>
      <c r="G33" s="25"/>
      <c r="H33" s="126">
        <v>0</v>
      </c>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1"/>
      <c r="BC33" s="131"/>
      <c r="BD33" s="131"/>
      <c r="BE33" s="131"/>
      <c r="BF33" s="131"/>
      <c r="BG33" s="131"/>
      <c r="BH33" s="131"/>
      <c r="BI33" s="131"/>
      <c r="BJ33" s="131"/>
      <c r="BK33" s="131"/>
      <c r="BL33" s="131"/>
      <c r="BM33" s="131"/>
      <c r="BN33" s="131"/>
      <c r="BO33" s="131"/>
      <c r="BP33" s="131"/>
      <c r="BQ33" s="131"/>
      <c r="BR33" s="131"/>
      <c r="BS33" s="131"/>
      <c r="BT33" s="131"/>
      <c r="BU33" s="131"/>
      <c r="BV33" s="131"/>
      <c r="BW33" s="131"/>
      <c r="BX33" s="131"/>
      <c r="BY33" s="131"/>
      <c r="BZ33" s="131"/>
      <c r="CA33" s="131"/>
      <c r="CB33" s="131"/>
      <c r="CC33" s="131"/>
      <c r="CD33" s="131"/>
      <c r="CE33" s="131"/>
      <c r="CF33" s="131"/>
      <c r="CG33" s="131"/>
      <c r="CH33" s="131"/>
      <c r="CI33" s="131"/>
      <c r="CJ33" s="131"/>
      <c r="CK33" s="131"/>
      <c r="CL33" s="131"/>
      <c r="CM33" s="131"/>
      <c r="CN33" s="131"/>
      <c r="CO33" s="131"/>
      <c r="CP33" s="131"/>
      <c r="CQ33" s="131"/>
      <c r="CR33" s="131"/>
      <c r="CS33" s="131"/>
      <c r="CT33" s="131"/>
      <c r="CU33" s="131"/>
      <c r="CV33" s="131"/>
      <c r="CW33" s="131"/>
      <c r="CX33" s="131"/>
      <c r="CY33" s="131"/>
      <c r="CZ33" s="131"/>
      <c r="DA33" s="131"/>
      <c r="DB33" s="131"/>
      <c r="DC33" s="131"/>
      <c r="DD33" s="131"/>
      <c r="DE33" s="131"/>
      <c r="DF33" s="131"/>
      <c r="DG33" s="131"/>
    </row>
    <row r="34" spans="2:111">
      <c r="B34" s="135"/>
      <c r="C34" s="146"/>
      <c r="D34" s="3"/>
      <c r="E34" s="16"/>
      <c r="F34" s="21"/>
      <c r="G34" s="25"/>
      <c r="H34" s="126"/>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row>
    <row r="35" spans="2:111">
      <c r="B35" s="136" t="s">
        <v>156</v>
      </c>
      <c r="C35" s="145" t="s">
        <v>157</v>
      </c>
      <c r="D35" s="2"/>
      <c r="E35" s="16"/>
      <c r="F35" s="21"/>
      <c r="G35" s="25"/>
      <c r="H35" s="126"/>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131"/>
      <c r="BY35" s="131"/>
      <c r="BZ35" s="131"/>
      <c r="CA35" s="131"/>
      <c r="CB35" s="131"/>
      <c r="CC35" s="131"/>
      <c r="CD35" s="131"/>
      <c r="CE35" s="131"/>
      <c r="CF35" s="131"/>
      <c r="CG35" s="131"/>
      <c r="CH35" s="131"/>
      <c r="CI35" s="131"/>
      <c r="CJ35" s="131"/>
      <c r="CK35" s="131"/>
      <c r="CL35" s="131"/>
      <c r="CM35" s="131"/>
      <c r="CN35" s="131"/>
      <c r="CO35" s="131"/>
      <c r="CP35" s="131"/>
      <c r="CQ35" s="131"/>
      <c r="CR35" s="131"/>
      <c r="CS35" s="131"/>
      <c r="CT35" s="131"/>
      <c r="CU35" s="131"/>
      <c r="CV35" s="131"/>
      <c r="CW35" s="131"/>
      <c r="CX35" s="131"/>
      <c r="CY35" s="131"/>
      <c r="CZ35" s="131"/>
      <c r="DA35" s="131"/>
      <c r="DB35" s="131"/>
      <c r="DC35" s="131"/>
      <c r="DD35" s="131"/>
      <c r="DE35" s="131"/>
      <c r="DF35" s="131"/>
      <c r="DG35" s="131"/>
    </row>
    <row r="36" spans="2:111">
      <c r="B36" s="133" t="s">
        <v>158</v>
      </c>
      <c r="C36" s="151" t="s">
        <v>159</v>
      </c>
      <c r="D36" s="12" t="s">
        <v>272</v>
      </c>
      <c r="E36" s="16"/>
      <c r="F36" s="21"/>
      <c r="G36" s="25"/>
      <c r="H36" s="126">
        <f>SUM(I36:DG36)</f>
        <v>0</v>
      </c>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131"/>
      <c r="CQ36" s="131"/>
      <c r="CR36" s="131"/>
      <c r="CS36" s="131"/>
      <c r="CT36" s="131"/>
      <c r="CU36" s="131"/>
      <c r="CV36" s="131"/>
      <c r="CW36" s="131"/>
      <c r="CX36" s="131"/>
      <c r="CY36" s="131"/>
      <c r="CZ36" s="131"/>
      <c r="DA36" s="131"/>
      <c r="DB36" s="131"/>
      <c r="DC36" s="131"/>
      <c r="DD36" s="131"/>
      <c r="DE36" s="131"/>
      <c r="DF36" s="131"/>
      <c r="DG36" s="131"/>
    </row>
    <row r="37" spans="2:111">
      <c r="B37" s="135"/>
      <c r="C37" s="147"/>
      <c r="D37" s="3"/>
      <c r="E37" s="16"/>
      <c r="F37" s="21"/>
      <c r="G37" s="25"/>
      <c r="H37" s="126"/>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131"/>
      <c r="CQ37" s="131"/>
      <c r="CR37" s="131"/>
      <c r="CS37" s="131"/>
      <c r="CT37" s="131"/>
      <c r="CU37" s="131"/>
      <c r="CV37" s="131"/>
      <c r="CW37" s="131"/>
      <c r="CX37" s="131"/>
      <c r="CY37" s="131"/>
      <c r="CZ37" s="131"/>
      <c r="DA37" s="131"/>
      <c r="DB37" s="131"/>
      <c r="DC37" s="131"/>
      <c r="DD37" s="131"/>
      <c r="DE37" s="131"/>
      <c r="DF37" s="131"/>
      <c r="DG37" s="131"/>
    </row>
    <row r="38" spans="2:111">
      <c r="B38" s="136" t="s">
        <v>160</v>
      </c>
      <c r="C38" s="145" t="s">
        <v>0</v>
      </c>
      <c r="D38" s="3"/>
      <c r="E38" s="16"/>
      <c r="F38" s="21"/>
      <c r="G38" s="25"/>
      <c r="H38" s="126"/>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1"/>
      <c r="AT38" s="131"/>
      <c r="AU38" s="131"/>
      <c r="AV38" s="131"/>
      <c r="AW38" s="131"/>
      <c r="AX38" s="131"/>
      <c r="AY38" s="131"/>
      <c r="AZ38" s="131"/>
      <c r="BA38" s="131"/>
      <c r="BB38" s="131"/>
      <c r="BC38" s="131"/>
      <c r="BD38" s="131"/>
      <c r="BE38" s="131"/>
      <c r="BF38" s="131"/>
      <c r="BG38" s="131"/>
      <c r="BH38" s="131"/>
      <c r="BI38" s="131"/>
      <c r="BJ38" s="131"/>
      <c r="BK38" s="131"/>
      <c r="BL38" s="131"/>
      <c r="BM38" s="131"/>
      <c r="BN38" s="131"/>
      <c r="BO38" s="131"/>
      <c r="BP38" s="131"/>
      <c r="BQ38" s="131"/>
      <c r="BR38" s="131"/>
      <c r="BS38" s="131"/>
      <c r="BT38" s="131"/>
      <c r="BU38" s="131"/>
      <c r="BV38" s="131"/>
      <c r="BW38" s="131"/>
      <c r="BX38" s="131"/>
      <c r="BY38" s="131"/>
      <c r="BZ38" s="131"/>
      <c r="CA38" s="131"/>
      <c r="CB38" s="131"/>
      <c r="CC38" s="131"/>
      <c r="CD38" s="131"/>
      <c r="CE38" s="131"/>
      <c r="CF38" s="131"/>
      <c r="CG38" s="131"/>
      <c r="CH38" s="131"/>
      <c r="CI38" s="131"/>
      <c r="CJ38" s="131"/>
      <c r="CK38" s="131"/>
      <c r="CL38" s="131"/>
      <c r="CM38" s="131"/>
      <c r="CN38" s="131"/>
      <c r="CO38" s="131"/>
      <c r="CP38" s="131"/>
      <c r="CQ38" s="131"/>
      <c r="CR38" s="131"/>
      <c r="CS38" s="131"/>
      <c r="CT38" s="131"/>
      <c r="CU38" s="131"/>
      <c r="CV38" s="131"/>
      <c r="CW38" s="131"/>
      <c r="CX38" s="131"/>
      <c r="CY38" s="131"/>
      <c r="CZ38" s="131"/>
      <c r="DA38" s="131"/>
      <c r="DB38" s="131"/>
      <c r="DC38" s="131"/>
      <c r="DD38" s="131"/>
      <c r="DE38" s="131"/>
      <c r="DF38" s="131"/>
      <c r="DG38" s="131"/>
    </row>
    <row r="39" spans="2:111">
      <c r="B39" s="134" t="s">
        <v>161</v>
      </c>
      <c r="C39" s="150" t="s">
        <v>162</v>
      </c>
      <c r="D39" s="3"/>
      <c r="E39" s="16"/>
      <c r="F39" s="21"/>
      <c r="G39" s="25"/>
      <c r="H39" s="126"/>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row>
    <row r="40" spans="2:111">
      <c r="B40" s="134" t="s">
        <v>163</v>
      </c>
      <c r="C40" s="153" t="s">
        <v>164</v>
      </c>
      <c r="D40" s="3"/>
      <c r="E40" s="16"/>
      <c r="F40" s="21"/>
      <c r="G40" s="25"/>
      <c r="H40" s="126"/>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row>
    <row r="41" spans="2:111">
      <c r="B41" s="133" t="s">
        <v>165</v>
      </c>
      <c r="C41" s="154" t="s">
        <v>166</v>
      </c>
      <c r="D41" s="12" t="s">
        <v>272</v>
      </c>
      <c r="E41" s="16"/>
      <c r="F41" s="21"/>
      <c r="G41" s="25"/>
      <c r="H41" s="126">
        <f>SUM(I41:DG41)</f>
        <v>0</v>
      </c>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row>
    <row r="42" spans="2:111">
      <c r="B42" s="133" t="s">
        <v>167</v>
      </c>
      <c r="C42" s="154" t="s">
        <v>168</v>
      </c>
      <c r="D42" s="12" t="s">
        <v>272</v>
      </c>
      <c r="E42" s="16"/>
      <c r="F42" s="21"/>
      <c r="G42" s="25"/>
      <c r="H42" s="126">
        <f>SUM(I42:DG42)</f>
        <v>0</v>
      </c>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row>
    <row r="43" spans="2:111">
      <c r="B43" s="133" t="s">
        <v>169</v>
      </c>
      <c r="C43" s="152" t="s">
        <v>170</v>
      </c>
      <c r="D43" s="12" t="s">
        <v>272</v>
      </c>
      <c r="E43" s="16"/>
      <c r="F43" s="21"/>
      <c r="G43" s="26"/>
      <c r="H43" s="126">
        <f>SUM(I43:DG43)</f>
        <v>0</v>
      </c>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c r="AO43" s="131"/>
      <c r="AP43" s="131"/>
      <c r="AQ43" s="131"/>
      <c r="AR43" s="131"/>
      <c r="AS43" s="131"/>
      <c r="AT43" s="131"/>
      <c r="AU43" s="131"/>
      <c r="AV43" s="131"/>
      <c r="AW43" s="131"/>
      <c r="AX43" s="131"/>
      <c r="AY43" s="131"/>
      <c r="AZ43" s="131"/>
      <c r="BA43" s="131"/>
      <c r="BB43" s="131"/>
      <c r="BC43" s="131"/>
      <c r="BD43" s="131"/>
      <c r="BE43" s="131"/>
      <c r="BF43" s="131"/>
      <c r="BG43" s="131"/>
      <c r="BH43" s="131"/>
      <c r="BI43" s="131"/>
      <c r="BJ43" s="131"/>
      <c r="BK43" s="131"/>
      <c r="BL43" s="131"/>
      <c r="BM43" s="131"/>
      <c r="BN43" s="131"/>
      <c r="BO43" s="131"/>
      <c r="BP43" s="131"/>
      <c r="BQ43" s="131"/>
      <c r="BR43" s="131"/>
      <c r="BS43" s="131"/>
      <c r="BT43" s="131"/>
      <c r="BU43" s="131"/>
      <c r="BV43" s="131"/>
      <c r="BW43" s="131"/>
      <c r="BX43" s="131"/>
      <c r="BY43" s="131"/>
      <c r="BZ43" s="131"/>
      <c r="CA43" s="131"/>
      <c r="CB43" s="131"/>
      <c r="CC43" s="131"/>
      <c r="CD43" s="131"/>
      <c r="CE43" s="131"/>
      <c r="CF43" s="131"/>
      <c r="CG43" s="131"/>
      <c r="CH43" s="131"/>
      <c r="CI43" s="131"/>
      <c r="CJ43" s="131"/>
      <c r="CK43" s="131"/>
      <c r="CL43" s="131"/>
      <c r="CM43" s="131"/>
      <c r="CN43" s="131"/>
      <c r="CO43" s="131"/>
      <c r="CP43" s="131"/>
      <c r="CQ43" s="131"/>
      <c r="CR43" s="131"/>
      <c r="CS43" s="131"/>
      <c r="CT43" s="131"/>
      <c r="CU43" s="131"/>
      <c r="CV43" s="131"/>
      <c r="CW43" s="131"/>
      <c r="CX43" s="131"/>
      <c r="CY43" s="131"/>
      <c r="CZ43" s="131"/>
      <c r="DA43" s="131"/>
      <c r="DB43" s="131"/>
      <c r="DC43" s="131"/>
      <c r="DD43" s="131"/>
      <c r="DE43" s="131"/>
      <c r="DF43" s="131"/>
      <c r="DG43" s="131"/>
    </row>
    <row r="44" spans="2:111">
      <c r="B44" s="134" t="s">
        <v>171</v>
      </c>
      <c r="C44" s="153" t="s">
        <v>172</v>
      </c>
      <c r="D44" s="2"/>
      <c r="E44" s="16"/>
      <c r="F44" s="21"/>
      <c r="G44" s="26"/>
      <c r="H44" s="126"/>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1"/>
      <c r="CN44" s="131"/>
      <c r="CO44" s="131"/>
      <c r="CP44" s="131"/>
      <c r="CQ44" s="131"/>
      <c r="CR44" s="131"/>
      <c r="CS44" s="131"/>
      <c r="CT44" s="131"/>
      <c r="CU44" s="131"/>
      <c r="CV44" s="131"/>
      <c r="CW44" s="131"/>
      <c r="CX44" s="131"/>
      <c r="CY44" s="131"/>
      <c r="CZ44" s="131"/>
      <c r="DA44" s="131"/>
      <c r="DB44" s="131"/>
      <c r="DC44" s="131"/>
      <c r="DD44" s="131"/>
      <c r="DE44" s="131"/>
      <c r="DF44" s="131"/>
      <c r="DG44" s="131"/>
    </row>
    <row r="45" spans="2:111" ht="94.5">
      <c r="B45" s="133" t="s">
        <v>173</v>
      </c>
      <c r="C45" s="154" t="s">
        <v>174</v>
      </c>
      <c r="D45" s="12" t="s">
        <v>606</v>
      </c>
      <c r="E45" s="16" t="s">
        <v>482</v>
      </c>
      <c r="F45" s="21" t="s">
        <v>593</v>
      </c>
      <c r="G45" s="25">
        <f>425592637293.832+6500333109+3110405212+22177562054.21+7627853015+1593381858+76123095911+9898891538.39+713580925</f>
        <v>553337740916.43201</v>
      </c>
      <c r="H45" s="126">
        <f>SUM(I45:DG45)</f>
        <v>468515489822.17206</v>
      </c>
      <c r="I45" s="131">
        <v>86074227031.420029</v>
      </c>
      <c r="J45" s="131">
        <v>130095811305.86221</v>
      </c>
      <c r="K45" s="131">
        <v>140244477484.42816</v>
      </c>
      <c r="L45" s="131"/>
      <c r="M45" s="131"/>
      <c r="N45" s="131">
        <v>69178121472.121796</v>
      </c>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f>81968380+1984740433.42</f>
        <v>2066708813.4200001</v>
      </c>
      <c r="AL45" s="131">
        <f>434263110+1771354936.77</f>
        <v>2205618046.77</v>
      </c>
      <c r="AM45" s="131">
        <f>701945860+1167804131.74</f>
        <v>1869749991.74</v>
      </c>
      <c r="AN45" s="131">
        <f>180176160+1487413341.86</f>
        <v>1667589501.8599999</v>
      </c>
      <c r="AO45" s="131">
        <f>31938480+1406391713.18</f>
        <v>1438330193.1800001</v>
      </c>
      <c r="AP45" s="131">
        <f>73461650+1200665653.78</f>
        <v>1274127303.78</v>
      </c>
      <c r="AQ45" s="131">
        <f>907416320+1037710703.58</f>
        <v>1945127023.5799999</v>
      </c>
      <c r="AR45" s="131">
        <f>86026700+1071891069.12</f>
        <v>1157917769.1199999</v>
      </c>
      <c r="AS45" s="131">
        <f>114550760+1034038231.68</f>
        <v>1148588991.6799998</v>
      </c>
      <c r="AT45" s="131">
        <f>698498790+927543309.88</f>
        <v>1626042099.8800001</v>
      </c>
      <c r="AU45" s="131">
        <f>582410280+756529211.4</f>
        <v>1338939491.4000001</v>
      </c>
      <c r="AV45" s="131">
        <f>233617775+941233581.74</f>
        <v>1174851356.74</v>
      </c>
      <c r="AW45" s="131">
        <f>57484770+724498222.6</f>
        <v>781982992.60000002</v>
      </c>
      <c r="AX45" s="131">
        <f>766787040+289155422.88</f>
        <v>1055942462.88</v>
      </c>
      <c r="AY45" s="131">
        <f>129831160+651207045.82</f>
        <v>781038205.82000005</v>
      </c>
      <c r="AZ45" s="131">
        <f>112935320+1235660614.74+373909040.5</f>
        <v>1722504975.24</v>
      </c>
      <c r="BA45" s="131">
        <f>388774380+631267484.76</f>
        <v>1020041864.76</v>
      </c>
      <c r="BB45" s="131">
        <f>50983040+733141.72</f>
        <v>51716181.719999999</v>
      </c>
      <c r="BC45" s="131">
        <v>67006420</v>
      </c>
      <c r="BD45" s="131">
        <f>173944000+219185026.4</f>
        <v>393129026.39999998</v>
      </c>
      <c r="BE45" s="131">
        <f>68012632+224434699.86</f>
        <v>292447331.86000001</v>
      </c>
      <c r="BF45" s="131">
        <f>84050500+193062456.48</f>
        <v>277112956.48000002</v>
      </c>
      <c r="BG45" s="131">
        <v>205083545.90000001</v>
      </c>
      <c r="BH45" s="131">
        <f>24421780+164905485.92</f>
        <v>189327265.91999999</v>
      </c>
      <c r="BI45" s="131">
        <f>61440940+157717450.68</f>
        <v>219158390.68000001</v>
      </c>
      <c r="BJ45" s="131">
        <v>335220</v>
      </c>
      <c r="BK45" s="131">
        <f>16486100+529773346.98</f>
        <v>546259446.98000002</v>
      </c>
      <c r="BL45" s="131">
        <f>8268660+590736380.52</f>
        <v>599005040.51999998</v>
      </c>
      <c r="BM45" s="131">
        <f>780251320+430392064.12</f>
        <v>1210643384.1199999</v>
      </c>
      <c r="BN45" s="131">
        <v>221416920</v>
      </c>
      <c r="BO45" s="131">
        <f>58654200+416113385.16</f>
        <v>474767585.16000003</v>
      </c>
      <c r="BP45" s="131">
        <f>120363030+361459157.86</f>
        <v>481822187.86000001</v>
      </c>
      <c r="BQ45" s="131">
        <v>657000</v>
      </c>
      <c r="BR45" s="131">
        <f>5420120+361019543.36</f>
        <v>366439663.36000001</v>
      </c>
      <c r="BS45" s="131">
        <v>22545100</v>
      </c>
      <c r="BT45" s="131">
        <f>2448500+284809326.3</f>
        <v>287257826.30000001</v>
      </c>
      <c r="BU45" s="131"/>
      <c r="BV45" s="131">
        <v>5178500</v>
      </c>
      <c r="BW45" s="131">
        <v>6794200</v>
      </c>
      <c r="BX45" s="131">
        <f>43671860+50711223.4</f>
        <v>94383083.400000006</v>
      </c>
      <c r="BY45" s="131">
        <v>892850</v>
      </c>
      <c r="BZ45" s="131">
        <v>949274930</v>
      </c>
      <c r="CA45" s="131">
        <f>63403480+155616769.7</f>
        <v>219020249.69999999</v>
      </c>
      <c r="CB45" s="131">
        <f>21771534+74589730.38</f>
        <v>96361264.379999995</v>
      </c>
      <c r="CC45" s="131">
        <f>1263000+161882290.82</f>
        <v>163145290.81999999</v>
      </c>
      <c r="CD45" s="131">
        <f>606373090+57540803.74</f>
        <v>663913893.74000001</v>
      </c>
      <c r="CE45" s="131">
        <f>537095610+63125936.88</f>
        <v>600221546.88</v>
      </c>
      <c r="CF45" s="131">
        <v>26226850</v>
      </c>
      <c r="CG45" s="131">
        <v>17316753.32</v>
      </c>
      <c r="CH45" s="131">
        <v>9327214108.3500004</v>
      </c>
      <c r="CI45" s="131">
        <v>9228529.4800000004</v>
      </c>
      <c r="CJ45" s="131">
        <v>7760579.29</v>
      </c>
      <c r="CK45" s="131">
        <v>193745604</v>
      </c>
      <c r="CL45" s="131">
        <v>100653957.7</v>
      </c>
      <c r="CM45" s="131">
        <v>1240231.68</v>
      </c>
      <c r="CN45" s="131">
        <v>53977831.890000001</v>
      </c>
      <c r="CO45" s="131">
        <v>13032324</v>
      </c>
      <c r="CP45" s="131">
        <v>23025700</v>
      </c>
      <c r="CQ45" s="131">
        <v>39362200</v>
      </c>
      <c r="CR45" s="131"/>
      <c r="CS45" s="131">
        <v>357120</v>
      </c>
      <c r="CT45" s="131">
        <v>2021148</v>
      </c>
      <c r="CU45" s="131"/>
      <c r="CV45" s="131"/>
      <c r="CW45" s="131"/>
      <c r="CX45" s="131"/>
      <c r="CY45" s="131"/>
      <c r="CZ45" s="131"/>
      <c r="DA45" s="131"/>
      <c r="DB45" s="131">
        <v>127272204</v>
      </c>
      <c r="DC45" s="131"/>
      <c r="DD45" s="131"/>
      <c r="DE45" s="131"/>
      <c r="DF45" s="131"/>
      <c r="DG45" s="131"/>
    </row>
    <row r="46" spans="2:111" ht="31.5">
      <c r="B46" s="133" t="s">
        <v>175</v>
      </c>
      <c r="C46" s="154" t="s">
        <v>176</v>
      </c>
      <c r="D46" s="12" t="s">
        <v>299</v>
      </c>
      <c r="E46" s="16" t="s">
        <v>483</v>
      </c>
      <c r="F46" s="21" t="s">
        <v>587</v>
      </c>
      <c r="G46" s="25"/>
      <c r="H46" s="126">
        <f>SUM(I46:DG46)</f>
        <v>0</v>
      </c>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row>
    <row r="47" spans="2:111" ht="110.25">
      <c r="B47" s="133" t="s">
        <v>175</v>
      </c>
      <c r="C47" s="154" t="s">
        <v>176</v>
      </c>
      <c r="D47" s="12" t="s">
        <v>606</v>
      </c>
      <c r="E47" s="16" t="s">
        <v>484</v>
      </c>
      <c r="F47" s="21" t="s">
        <v>591</v>
      </c>
      <c r="G47" s="25">
        <f>29488775247.737+279759500+5570700000+825000000+233500000+20926009+40000000</f>
        <v>36458660756.737</v>
      </c>
      <c r="H47" s="126">
        <f>SUM(I47:DG47)</f>
        <v>29768534747.73703</v>
      </c>
      <c r="I47" s="131"/>
      <c r="J47" s="131"/>
      <c r="K47" s="131">
        <v>2447150579.1505799</v>
      </c>
      <c r="L47" s="131"/>
      <c r="M47" s="131"/>
      <c r="N47" s="131"/>
      <c r="O47" s="131">
        <v>4519885648.8000002</v>
      </c>
      <c r="P47" s="131"/>
      <c r="Q47" s="131">
        <v>6117876447.8764505</v>
      </c>
      <c r="R47" s="131"/>
      <c r="S47" s="131">
        <v>7689600000</v>
      </c>
      <c r="T47" s="131">
        <v>2447937416.8800001</v>
      </c>
      <c r="U47" s="131">
        <v>2600335089.8899999</v>
      </c>
      <c r="V47" s="131"/>
      <c r="W47" s="131">
        <v>3665990065.1399999</v>
      </c>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v>11160000</v>
      </c>
      <c r="CJ47" s="131"/>
      <c r="CK47" s="131">
        <v>18000000</v>
      </c>
      <c r="CL47" s="131"/>
      <c r="CM47" s="131"/>
      <c r="CN47" s="131"/>
      <c r="CO47" s="131">
        <v>10099500</v>
      </c>
      <c r="CP47" s="131"/>
      <c r="CQ47" s="131"/>
      <c r="CR47" s="131">
        <v>48500000</v>
      </c>
      <c r="CS47" s="131">
        <v>2000000</v>
      </c>
      <c r="CT47" s="131">
        <v>2000000</v>
      </c>
      <c r="CU47" s="131">
        <v>4000000</v>
      </c>
      <c r="CV47" s="131"/>
      <c r="CW47" s="131">
        <v>1500000</v>
      </c>
      <c r="CX47" s="131">
        <v>13500000</v>
      </c>
      <c r="CY47" s="131">
        <v>2000000</v>
      </c>
      <c r="CZ47" s="131"/>
      <c r="DA47" s="131"/>
      <c r="DB47" s="131">
        <v>165000000</v>
      </c>
      <c r="DC47" s="131"/>
      <c r="DD47" s="131"/>
      <c r="DE47" s="131"/>
      <c r="DF47" s="131">
        <v>2000000</v>
      </c>
      <c r="DG47" s="131"/>
    </row>
    <row r="48" spans="2:111">
      <c r="B48" s="134" t="s">
        <v>284</v>
      </c>
      <c r="C48" s="155" t="s">
        <v>177</v>
      </c>
      <c r="D48" s="2"/>
      <c r="E48" s="16"/>
      <c r="F48" s="21"/>
      <c r="G48" s="25"/>
      <c r="H48" s="126"/>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row>
    <row r="49" spans="2:111">
      <c r="B49" s="133" t="s">
        <v>178</v>
      </c>
      <c r="C49" s="156" t="s">
        <v>179</v>
      </c>
      <c r="D49" s="12" t="s">
        <v>272</v>
      </c>
      <c r="E49" s="16"/>
      <c r="F49" s="21"/>
      <c r="G49" s="25"/>
      <c r="H49" s="126">
        <f t="shared" ref="H49:H58" si="4">SUM(I49:DG49)</f>
        <v>0</v>
      </c>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row>
    <row r="50" spans="2:111" ht="63">
      <c r="B50" s="133" t="s">
        <v>180</v>
      </c>
      <c r="C50" s="156" t="s">
        <v>181</v>
      </c>
      <c r="D50" s="12" t="s">
        <v>606</v>
      </c>
      <c r="E50" s="16" t="s">
        <v>485</v>
      </c>
      <c r="F50" s="21" t="s">
        <v>589</v>
      </c>
      <c r="G50" s="25">
        <f>1133623656423.91+7452943652.63734+1131064214+2939252108</f>
        <v>1145146916398.5474</v>
      </c>
      <c r="H50" s="126">
        <f t="shared" si="4"/>
        <v>1141700846853.5913</v>
      </c>
      <c r="I50" s="131">
        <v>263892685879.59454</v>
      </c>
      <c r="J50" s="131">
        <v>515270788654.37756</v>
      </c>
      <c r="K50" s="131">
        <v>241302668372.6221</v>
      </c>
      <c r="L50" s="131"/>
      <c r="M50" s="131"/>
      <c r="N50" s="131">
        <v>113157513517.31998</v>
      </c>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v>624246777.04000008</v>
      </c>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v>2370784784.4499998</v>
      </c>
      <c r="CI50" s="131">
        <v>75516619.722007751</v>
      </c>
      <c r="CJ50" s="131">
        <v>39643839.382239401</v>
      </c>
      <c r="CK50" s="131">
        <v>1670327099.3050201</v>
      </c>
      <c r="CL50" s="131">
        <v>978599291.99397719</v>
      </c>
      <c r="CM50" s="131">
        <v>10148822.881853286</v>
      </c>
      <c r="CN50" s="131">
        <v>600633507.97637093</v>
      </c>
      <c r="CO50" s="131">
        <v>327656206.39999998</v>
      </c>
      <c r="CP50" s="131">
        <v>460721290</v>
      </c>
      <c r="CQ50" s="131">
        <v>324198508.72586888</v>
      </c>
      <c r="CR50" s="131"/>
      <c r="CS50" s="131"/>
      <c r="CT50" s="131">
        <v>274836499</v>
      </c>
      <c r="CU50" s="131">
        <v>319877182.80000001</v>
      </c>
      <c r="CV50" s="131"/>
      <c r="CW50" s="131"/>
      <c r="CX50" s="131"/>
      <c r="CY50" s="131"/>
      <c r="CZ50" s="131"/>
      <c r="DA50" s="131"/>
      <c r="DB50" s="131"/>
      <c r="DC50" s="131"/>
      <c r="DD50" s="131"/>
      <c r="DE50" s="131"/>
      <c r="DF50" s="131"/>
      <c r="DG50" s="131"/>
    </row>
    <row r="51" spans="2:111" ht="31.5">
      <c r="B51" s="133" t="s">
        <v>180</v>
      </c>
      <c r="C51" s="156" t="s">
        <v>181</v>
      </c>
      <c r="D51" s="12" t="s">
        <v>299</v>
      </c>
      <c r="E51" s="16" t="s">
        <v>486</v>
      </c>
      <c r="F51" s="21" t="s">
        <v>587</v>
      </c>
      <c r="G51" s="25">
        <v>477440920774.48572</v>
      </c>
      <c r="H51" s="126">
        <f t="shared" si="4"/>
        <v>477440920774.48566</v>
      </c>
      <c r="I51" s="131">
        <v>94917777933.196167</v>
      </c>
      <c r="J51" s="131">
        <v>98338726972.098816</v>
      </c>
      <c r="K51" s="131">
        <v>182295299891.74048</v>
      </c>
      <c r="L51" s="131"/>
      <c r="M51" s="131"/>
      <c r="N51" s="131">
        <v>101889115977.4502</v>
      </c>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row>
    <row r="52" spans="2:111" ht="31.5">
      <c r="B52" s="133" t="s">
        <v>180</v>
      </c>
      <c r="C52" s="156" t="s">
        <v>181</v>
      </c>
      <c r="D52" s="12" t="s">
        <v>300</v>
      </c>
      <c r="E52" s="16" t="s">
        <v>486</v>
      </c>
      <c r="F52" s="21" t="s">
        <v>587</v>
      </c>
      <c r="G52" s="25">
        <v>16069786758.990601</v>
      </c>
      <c r="H52" s="126">
        <f t="shared" si="4"/>
        <v>0</v>
      </c>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row>
    <row r="53" spans="2:111" ht="31.5">
      <c r="B53" s="133" t="s">
        <v>180</v>
      </c>
      <c r="C53" s="156" t="s">
        <v>181</v>
      </c>
      <c r="D53" s="12" t="s">
        <v>299</v>
      </c>
      <c r="E53" s="16" t="s">
        <v>487</v>
      </c>
      <c r="F53" s="21" t="s">
        <v>587</v>
      </c>
      <c r="G53" s="25">
        <v>156255235281.66</v>
      </c>
      <c r="H53" s="126">
        <f t="shared" si="4"/>
        <v>156255235281.66043</v>
      </c>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v>72533543166.023193</v>
      </c>
      <c r="AI53" s="131">
        <v>78097520453.986801</v>
      </c>
      <c r="AJ53" s="131">
        <v>5624171661.6504297</v>
      </c>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row>
    <row r="54" spans="2:111" ht="31.5">
      <c r="B54" s="133" t="s">
        <v>180</v>
      </c>
      <c r="C54" s="156" t="s">
        <v>181</v>
      </c>
      <c r="D54" s="12" t="s">
        <v>299</v>
      </c>
      <c r="E54" s="16" t="s">
        <v>488</v>
      </c>
      <c r="F54" s="21" t="s">
        <v>587</v>
      </c>
      <c r="G54" s="25">
        <v>9121753783.7837906</v>
      </c>
      <c r="H54" s="126">
        <f t="shared" si="4"/>
        <v>9121753783.7837906</v>
      </c>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v>672966409.26640999</v>
      </c>
      <c r="AJ54" s="131">
        <v>8448787374.5173798</v>
      </c>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row>
    <row r="55" spans="2:111" ht="31.5">
      <c r="B55" s="133" t="s">
        <v>180</v>
      </c>
      <c r="C55" s="156" t="s">
        <v>181</v>
      </c>
      <c r="D55" s="12" t="s">
        <v>606</v>
      </c>
      <c r="E55" s="16" t="s">
        <v>489</v>
      </c>
      <c r="F55" s="21" t="s">
        <v>588</v>
      </c>
      <c r="G55" s="25">
        <f>74796708464.4874+122565309+5272471367</f>
        <v>80191745140.487396</v>
      </c>
      <c r="H55" s="126">
        <f t="shared" si="4"/>
        <v>72936801072.707367</v>
      </c>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v>6350712339.3000002</v>
      </c>
      <c r="AL55" s="131">
        <v>5919094812.4400005</v>
      </c>
      <c r="AM55" s="131">
        <v>5032759023.2200003</v>
      </c>
      <c r="AN55" s="131">
        <v>4872882568.6199999</v>
      </c>
      <c r="AO55" s="131">
        <v>4466122350.1599998</v>
      </c>
      <c r="AP55" s="131">
        <v>3872030356.7000003</v>
      </c>
      <c r="AQ55" s="131">
        <v>3717404922.9200001</v>
      </c>
      <c r="AR55" s="131">
        <v>3425574502.9200001</v>
      </c>
      <c r="AS55" s="131">
        <v>3345571227.9200001</v>
      </c>
      <c r="AT55" s="131">
        <v>3234747722.9200001</v>
      </c>
      <c r="AU55" s="131">
        <v>3222131476.9000001</v>
      </c>
      <c r="AV55" s="131">
        <v>3571692543.04</v>
      </c>
      <c r="AW55" s="131">
        <v>2377021092.52</v>
      </c>
      <c r="AX55" s="131"/>
      <c r="AY55" s="131">
        <v>2076181745.0400002</v>
      </c>
      <c r="AZ55" s="131"/>
      <c r="BA55" s="131">
        <v>2056951933.9400001</v>
      </c>
      <c r="BB55" s="131">
        <v>13575208.0074</v>
      </c>
      <c r="BC55" s="131"/>
      <c r="BD55" s="131">
        <v>806074550.48000002</v>
      </c>
      <c r="BE55" s="131">
        <v>736384324.62</v>
      </c>
      <c r="BF55" s="131"/>
      <c r="BG55" s="131">
        <v>713472646.74000001</v>
      </c>
      <c r="BH55" s="131">
        <v>526447560.52000004</v>
      </c>
      <c r="BI55" s="131">
        <v>581269749.77999997</v>
      </c>
      <c r="BJ55" s="131"/>
      <c r="BK55" s="131">
        <v>1767915487.2800002</v>
      </c>
      <c r="BL55" s="131">
        <v>1934852507.5</v>
      </c>
      <c r="BM55" s="131">
        <v>1542713409.8400002</v>
      </c>
      <c r="BN55" s="131"/>
      <c r="BO55" s="131">
        <v>1310757298.52</v>
      </c>
      <c r="BP55" s="131">
        <v>1169299987.7</v>
      </c>
      <c r="BQ55" s="131"/>
      <c r="BR55" s="131">
        <v>1138297983.52</v>
      </c>
      <c r="BS55" s="131"/>
      <c r="BT55" s="131">
        <v>908876542.01999998</v>
      </c>
      <c r="BU55" s="131">
        <v>173914</v>
      </c>
      <c r="BV55" s="131"/>
      <c r="BW55" s="131"/>
      <c r="BX55" s="131">
        <v>264990994.04000002</v>
      </c>
      <c r="BY55" s="131"/>
      <c r="BZ55" s="131"/>
      <c r="CA55" s="131">
        <v>511192023.06</v>
      </c>
      <c r="CB55" s="131">
        <v>244259977.84</v>
      </c>
      <c r="CC55" s="131">
        <v>514402426.44000006</v>
      </c>
      <c r="CD55" s="131">
        <v>256962315.68000001</v>
      </c>
      <c r="CE55" s="131">
        <v>343988695.40000004</v>
      </c>
      <c r="CF55" s="131">
        <v>217393</v>
      </c>
      <c r="CG55" s="131">
        <v>109797458.16</v>
      </c>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row>
    <row r="56" spans="2:111" ht="63">
      <c r="B56" s="133" t="s">
        <v>180</v>
      </c>
      <c r="C56" s="156" t="s">
        <v>181</v>
      </c>
      <c r="D56" s="12" t="s">
        <v>300</v>
      </c>
      <c r="E56" s="16" t="s">
        <v>490</v>
      </c>
      <c r="F56" s="21" t="s">
        <v>592</v>
      </c>
      <c r="G56" s="25">
        <f>28315473111.85+18119100000</f>
        <v>46434573111.849998</v>
      </c>
      <c r="H56" s="126">
        <f t="shared" si="4"/>
        <v>0</v>
      </c>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row>
    <row r="57" spans="2:111" ht="31.5">
      <c r="B57" s="133" t="s">
        <v>182</v>
      </c>
      <c r="C57" s="154" t="s">
        <v>199</v>
      </c>
      <c r="D57" s="12" t="s">
        <v>272</v>
      </c>
      <c r="E57" s="16"/>
      <c r="F57" s="21"/>
      <c r="G57" s="25"/>
      <c r="H57" s="126">
        <f t="shared" si="4"/>
        <v>0</v>
      </c>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row>
    <row r="58" spans="2:111" ht="157.5">
      <c r="B58" s="133" t="s">
        <v>183</v>
      </c>
      <c r="C58" s="154" t="s">
        <v>200</v>
      </c>
      <c r="D58" s="12" t="s">
        <v>606</v>
      </c>
      <c r="E58" s="16" t="s">
        <v>491</v>
      </c>
      <c r="F58" s="21" t="s">
        <v>594</v>
      </c>
      <c r="G58" s="25">
        <f>3287730040.10734+1269550476.08+153278300+2256652471+749633230</f>
        <v>7716844517.1873398</v>
      </c>
      <c r="H58" s="126">
        <f t="shared" si="4"/>
        <v>4710558816.1873369</v>
      </c>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v>2064154750.5320473</v>
      </c>
      <c r="AH58" s="131">
        <v>1223575289.57529</v>
      </c>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v>123540000</v>
      </c>
      <c r="CI58" s="131">
        <f>2483720+2497500</f>
        <v>4981220</v>
      </c>
      <c r="CJ58" s="131"/>
      <c r="CK58" s="131">
        <f>6136200+55950000</f>
        <v>62086200</v>
      </c>
      <c r="CL58" s="131">
        <v>24000000</v>
      </c>
      <c r="CM58" s="131">
        <v>1000000</v>
      </c>
      <c r="CN58" s="131"/>
      <c r="CO58" s="131">
        <v>9687730</v>
      </c>
      <c r="CP58" s="131">
        <f>59542000+44088000</f>
        <v>103630000</v>
      </c>
      <c r="CQ58" s="131">
        <v>48077700</v>
      </c>
      <c r="CR58" s="131">
        <f>398632128+10850000</f>
        <v>409482128</v>
      </c>
      <c r="CS58" s="131">
        <f>637600+2600000</f>
        <v>3237600</v>
      </c>
      <c r="CT58" s="131">
        <f>9365600+34339350</f>
        <v>43704950</v>
      </c>
      <c r="CU58" s="131">
        <f>2243600+1953450</f>
        <v>4197050</v>
      </c>
      <c r="CV58" s="131">
        <v>68280900</v>
      </c>
      <c r="CW58" s="131">
        <v>485634</v>
      </c>
      <c r="CX58" s="131">
        <v>4370706</v>
      </c>
      <c r="CY58" s="131">
        <v>1189800</v>
      </c>
      <c r="CZ58" s="131">
        <v>60785006</v>
      </c>
      <c r="DA58" s="131"/>
      <c r="DB58" s="131">
        <v>358887072</v>
      </c>
      <c r="DC58" s="131"/>
      <c r="DD58" s="131">
        <v>27239100.079999998</v>
      </c>
      <c r="DE58" s="131">
        <v>42643000</v>
      </c>
      <c r="DF58" s="131">
        <v>1242180</v>
      </c>
      <c r="DG58" s="131">
        <v>20080800</v>
      </c>
    </row>
    <row r="59" spans="2:111">
      <c r="B59" s="134" t="s">
        <v>184</v>
      </c>
      <c r="C59" s="153" t="s">
        <v>185</v>
      </c>
      <c r="D59" s="2"/>
      <c r="E59" s="16"/>
      <c r="F59" s="21"/>
      <c r="G59" s="25"/>
      <c r="H59" s="126"/>
      <c r="I59" s="131"/>
      <c r="J59" s="131"/>
      <c r="K59" s="131"/>
      <c r="L59" s="131"/>
      <c r="M59" s="131"/>
      <c r="N59" s="131"/>
      <c r="O59" s="131"/>
      <c r="P59" s="131"/>
      <c r="Q59" s="131"/>
      <c r="R59" s="131"/>
      <c r="S59" s="131"/>
      <c r="T59" s="131"/>
      <c r="U59" s="131"/>
      <c r="V59" s="131"/>
      <c r="W59" s="131"/>
      <c r="X59" s="131"/>
      <c r="Y59" s="131"/>
      <c r="Z59" s="131"/>
      <c r="AA59" s="131"/>
      <c r="AB59" s="131"/>
      <c r="AC59" s="131"/>
      <c r="AD59" s="131"/>
      <c r="AE59" s="194"/>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row>
    <row r="60" spans="2:111" ht="31.5">
      <c r="B60" s="137" t="s">
        <v>186</v>
      </c>
      <c r="C60" s="154" t="s">
        <v>187</v>
      </c>
      <c r="D60" s="12" t="s">
        <v>299</v>
      </c>
      <c r="E60" s="16" t="s">
        <v>492</v>
      </c>
      <c r="F60" s="21" t="s">
        <v>587</v>
      </c>
      <c r="G60" s="25">
        <v>9718000051.5799999</v>
      </c>
      <c r="H60" s="126">
        <f t="shared" ref="H60:H67" si="5">SUM(I60:DG60)</f>
        <v>9718000051.5799999</v>
      </c>
      <c r="I60" s="131"/>
      <c r="J60" s="131"/>
      <c r="K60" s="131"/>
      <c r="L60" s="131"/>
      <c r="M60" s="131"/>
      <c r="N60" s="131"/>
      <c r="O60" s="131"/>
      <c r="P60" s="131">
        <v>158908245.38999999</v>
      </c>
      <c r="Q60" s="131"/>
      <c r="R60" s="131"/>
      <c r="S60" s="131"/>
      <c r="T60" s="131">
        <v>1101011396.53</v>
      </c>
      <c r="U60" s="131"/>
      <c r="V60" s="131"/>
      <c r="W60" s="131"/>
      <c r="X60" s="131">
        <v>25514240</v>
      </c>
      <c r="Y60" s="131">
        <v>1362412800</v>
      </c>
      <c r="Z60" s="131">
        <v>514002900.88</v>
      </c>
      <c r="AA60" s="131">
        <v>319815012.92000002</v>
      </c>
      <c r="AB60" s="131">
        <v>3386172024.0100002</v>
      </c>
      <c r="AC60" s="131">
        <v>660662078.90999997</v>
      </c>
      <c r="AD60" s="131">
        <v>446964137.63999999</v>
      </c>
      <c r="AE60" s="131">
        <v>1294095996.5599999</v>
      </c>
      <c r="AF60" s="131">
        <v>448441218.74000001</v>
      </c>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row>
    <row r="61" spans="2:111" ht="31.5">
      <c r="B61" s="133" t="s">
        <v>188</v>
      </c>
      <c r="C61" s="154" t="s">
        <v>189</v>
      </c>
      <c r="D61" s="12" t="s">
        <v>606</v>
      </c>
      <c r="E61" s="16" t="s">
        <v>493</v>
      </c>
      <c r="F61" s="21" t="s">
        <v>588</v>
      </c>
      <c r="G61" s="25">
        <f>9504669741.66+682734625</f>
        <v>10187404366.66</v>
      </c>
      <c r="H61" s="126">
        <f t="shared" si="5"/>
        <v>9504669741.6599941</v>
      </c>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v>850602656.41999996</v>
      </c>
      <c r="AL61" s="131">
        <v>759152019.13999999</v>
      </c>
      <c r="AM61" s="131">
        <v>500486905.31999999</v>
      </c>
      <c r="AN61" s="131">
        <v>637462667.55999994</v>
      </c>
      <c r="AO61" s="131">
        <v>602738532.70000005</v>
      </c>
      <c r="AP61" s="131">
        <v>514570801.24000001</v>
      </c>
      <c r="AQ61" s="131">
        <v>444732965.44</v>
      </c>
      <c r="AR61" s="131">
        <v>459382273.24000001</v>
      </c>
      <c r="AS61" s="131">
        <v>443159821.86000001</v>
      </c>
      <c r="AT61" s="131">
        <v>397518368.13999999</v>
      </c>
      <c r="AU61" s="131">
        <v>324227191.36000001</v>
      </c>
      <c r="AV61" s="131">
        <v>403386207.22000003</v>
      </c>
      <c r="AW61" s="131">
        <v>310499045.01999998</v>
      </c>
      <c r="AX61" s="131">
        <v>123923945.90000001</v>
      </c>
      <c r="AY61" s="131">
        <v>279088927.16000003</v>
      </c>
      <c r="AZ61" s="131">
        <v>160246924.88</v>
      </c>
      <c r="BA61" s="131">
        <v>270542821.28000003</v>
      </c>
      <c r="BB61" s="131">
        <v>313817.12</v>
      </c>
      <c r="BC61" s="131"/>
      <c r="BD61" s="131">
        <v>93936826.359999999</v>
      </c>
      <c r="BE61" s="131">
        <v>96186299.939999998</v>
      </c>
      <c r="BF61" s="131">
        <v>82740859.540000007</v>
      </c>
      <c r="BG61" s="131">
        <v>87893141.480000004</v>
      </c>
      <c r="BH61" s="131">
        <v>70673779.680000007</v>
      </c>
      <c r="BI61" s="131">
        <v>67593772.859999999</v>
      </c>
      <c r="BJ61" s="131"/>
      <c r="BK61" s="131">
        <v>227045333.66</v>
      </c>
      <c r="BL61" s="131">
        <v>253173314.22000003</v>
      </c>
      <c r="BM61" s="131">
        <v>184454128.24000001</v>
      </c>
      <c r="BN61" s="131"/>
      <c r="BO61" s="131">
        <v>178334694.40000001</v>
      </c>
      <c r="BP61" s="131">
        <v>154910681.18000001</v>
      </c>
      <c r="BQ61" s="131"/>
      <c r="BR61" s="131">
        <v>154722661.44</v>
      </c>
      <c r="BS61" s="131"/>
      <c r="BT61" s="131">
        <v>122061333.08</v>
      </c>
      <c r="BU61" s="131"/>
      <c r="BV61" s="131"/>
      <c r="BW61" s="131"/>
      <c r="BX61" s="131">
        <v>21733188.220000003</v>
      </c>
      <c r="BY61" s="131"/>
      <c r="BZ61" s="131"/>
      <c r="CA61" s="131">
        <v>66692901.299999997</v>
      </c>
      <c r="CB61" s="131">
        <v>31967413.780000001</v>
      </c>
      <c r="CC61" s="131">
        <v>69377931.400000006</v>
      </c>
      <c r="CD61" s="131">
        <v>24660344.460000001</v>
      </c>
      <c r="CE61" s="131">
        <v>27053200</v>
      </c>
      <c r="CF61" s="131"/>
      <c r="CG61" s="131">
        <v>7422045.4200000009</v>
      </c>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row>
    <row r="62" spans="2:111" ht="31.5">
      <c r="B62" s="133" t="s">
        <v>188</v>
      </c>
      <c r="C62" s="154" t="s">
        <v>189</v>
      </c>
      <c r="D62" s="12" t="s">
        <v>606</v>
      </c>
      <c r="E62" s="16" t="s">
        <v>494</v>
      </c>
      <c r="F62" s="21" t="s">
        <v>588</v>
      </c>
      <c r="G62" s="25">
        <f>16931004999+89494475808</f>
        <v>106425480807</v>
      </c>
      <c r="H62" s="126">
        <f t="shared" si="5"/>
        <v>16931004999</v>
      </c>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v>876060000</v>
      </c>
      <c r="AM62" s="131"/>
      <c r="AN62" s="131"/>
      <c r="AO62" s="131">
        <v>63600000</v>
      </c>
      <c r="AP62" s="131"/>
      <c r="AQ62" s="131">
        <v>338170000</v>
      </c>
      <c r="AR62" s="131">
        <v>60160000</v>
      </c>
      <c r="AS62" s="131">
        <v>7200000</v>
      </c>
      <c r="AT62" s="131"/>
      <c r="AU62" s="131"/>
      <c r="AV62" s="131"/>
      <c r="AW62" s="131">
        <v>164200000</v>
      </c>
      <c r="AX62" s="131">
        <v>371800000</v>
      </c>
      <c r="AY62" s="131">
        <v>57300000</v>
      </c>
      <c r="AZ62" s="131">
        <v>5100000</v>
      </c>
      <c r="BA62" s="131">
        <v>28999999</v>
      </c>
      <c r="BB62" s="131">
        <v>897960000</v>
      </c>
      <c r="BC62" s="131">
        <v>836600000</v>
      </c>
      <c r="BD62" s="131">
        <v>540000000</v>
      </c>
      <c r="BE62" s="131">
        <v>2227260000</v>
      </c>
      <c r="BF62" s="131">
        <v>731600000</v>
      </c>
      <c r="BG62" s="131"/>
      <c r="BH62" s="131">
        <v>248000000</v>
      </c>
      <c r="BI62" s="131">
        <v>35000000</v>
      </c>
      <c r="BJ62" s="131">
        <v>570880000</v>
      </c>
      <c r="BK62" s="131">
        <v>575000000</v>
      </c>
      <c r="BL62" s="131">
        <v>25000000</v>
      </c>
      <c r="BM62" s="131">
        <v>4000000</v>
      </c>
      <c r="BN62" s="131">
        <v>3536560000</v>
      </c>
      <c r="BO62" s="131"/>
      <c r="BP62" s="131">
        <v>108000000</v>
      </c>
      <c r="BQ62" s="131">
        <v>280505000</v>
      </c>
      <c r="BR62" s="131"/>
      <c r="BS62" s="131">
        <v>103250000</v>
      </c>
      <c r="BT62" s="131">
        <v>41610000</v>
      </c>
      <c r="BU62" s="131"/>
      <c r="BV62" s="131">
        <v>348100000</v>
      </c>
      <c r="BW62" s="131">
        <v>11900000</v>
      </c>
      <c r="BX62" s="131">
        <v>35000000</v>
      </c>
      <c r="BY62" s="131">
        <v>2000000</v>
      </c>
      <c r="BZ62" s="131">
        <v>2213700000</v>
      </c>
      <c r="CA62" s="131">
        <v>804290000</v>
      </c>
      <c r="CB62" s="131">
        <v>16200000</v>
      </c>
      <c r="CC62" s="131">
        <v>46000000</v>
      </c>
      <c r="CD62" s="131"/>
      <c r="CE62" s="131">
        <v>360000000</v>
      </c>
      <c r="CF62" s="131">
        <v>360000000</v>
      </c>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row>
    <row r="63" spans="2:111" ht="31.5">
      <c r="B63" s="133" t="s">
        <v>188</v>
      </c>
      <c r="C63" s="154" t="s">
        <v>189</v>
      </c>
      <c r="D63" s="12" t="s">
        <v>606</v>
      </c>
      <c r="E63" s="16" t="s">
        <v>495</v>
      </c>
      <c r="F63" s="21" t="s">
        <v>588</v>
      </c>
      <c r="G63" s="25">
        <f>2815063537.689+213344561</f>
        <v>3028408098.6890001</v>
      </c>
      <c r="H63" s="126">
        <f t="shared" si="5"/>
        <v>2815063537.6890011</v>
      </c>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1"/>
      <c r="AK63" s="131">
        <v>255180661.66000003</v>
      </c>
      <c r="AL63" s="131">
        <v>227746011.53999999</v>
      </c>
      <c r="AM63" s="131">
        <v>150146612.66</v>
      </c>
      <c r="AN63" s="131">
        <v>191238908.4808</v>
      </c>
      <c r="AO63" s="131">
        <v>180822236.13999999</v>
      </c>
      <c r="AP63" s="131">
        <v>154370969.84</v>
      </c>
      <c r="AQ63" s="131">
        <v>133419619.10000001</v>
      </c>
      <c r="AR63" s="131">
        <v>137814411.44</v>
      </c>
      <c r="AS63" s="131">
        <v>132947540.76000001</v>
      </c>
      <c r="AT63" s="131">
        <v>119255916.23999999</v>
      </c>
      <c r="AU63" s="131">
        <v>97268427.939999998</v>
      </c>
      <c r="AV63" s="131">
        <v>121015726.90000001</v>
      </c>
      <c r="AW63" s="131">
        <v>93149578.239999995</v>
      </c>
      <c r="AX63" s="131"/>
      <c r="AY63" s="131">
        <v>83726948.680000007</v>
      </c>
      <c r="AZ63" s="131">
        <v>48073536.400000006</v>
      </c>
      <c r="BA63" s="131">
        <v>81244817.579999998</v>
      </c>
      <c r="BB63" s="131">
        <v>188019.74000000002</v>
      </c>
      <c r="BC63" s="131"/>
      <c r="BD63" s="131">
        <v>28181318.440000001</v>
      </c>
      <c r="BE63" s="131">
        <v>29099774.579999998</v>
      </c>
      <c r="BF63" s="131">
        <v>24822352.548200004</v>
      </c>
      <c r="BG63" s="131">
        <v>26367401.380000003</v>
      </c>
      <c r="BH63" s="131">
        <v>21201592.84</v>
      </c>
      <c r="BI63" s="131">
        <v>20277726.060000002</v>
      </c>
      <c r="BJ63" s="131"/>
      <c r="BK63" s="131">
        <v>68113194.299999997</v>
      </c>
      <c r="BL63" s="131">
        <v>75951859</v>
      </c>
      <c r="BM63" s="131">
        <v>55335967.940000005</v>
      </c>
      <c r="BN63" s="131"/>
      <c r="BO63" s="131">
        <v>53500408.32</v>
      </c>
      <c r="BP63" s="131">
        <v>46473339.619999997</v>
      </c>
      <c r="BQ63" s="131"/>
      <c r="BR63" s="131">
        <v>46416527.899999999</v>
      </c>
      <c r="BS63" s="131"/>
      <c r="BT63" s="131">
        <v>36617858.859999999</v>
      </c>
      <c r="BU63" s="131"/>
      <c r="BV63" s="131"/>
      <c r="BW63" s="131"/>
      <c r="BX63" s="131">
        <v>6519821.2000000002</v>
      </c>
      <c r="BY63" s="131"/>
      <c r="BZ63" s="131"/>
      <c r="CA63" s="131">
        <v>20007194.059999999</v>
      </c>
      <c r="CB63" s="131">
        <v>10013741.98</v>
      </c>
      <c r="CC63" s="131">
        <v>20813379.420000002</v>
      </c>
      <c r="CD63" s="131">
        <v>7397697.54</v>
      </c>
      <c r="CE63" s="131">
        <v>8115960.0000000009</v>
      </c>
      <c r="CF63" s="131"/>
      <c r="CG63" s="131">
        <v>2226478.3600000003</v>
      </c>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row>
    <row r="64" spans="2:111">
      <c r="B64" s="133" t="s">
        <v>188</v>
      </c>
      <c r="C64" s="154" t="s">
        <v>189</v>
      </c>
      <c r="D64" s="12" t="s">
        <v>606</v>
      </c>
      <c r="E64" s="16" t="s">
        <v>496</v>
      </c>
      <c r="F64" s="21" t="s">
        <v>497</v>
      </c>
      <c r="G64" s="25">
        <f>4343230992.296+2987472820</f>
        <v>7330703812.2959995</v>
      </c>
      <c r="H64" s="126">
        <f t="shared" si="5"/>
        <v>4343230992.2959986</v>
      </c>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1"/>
      <c r="AK64" s="131">
        <v>270770396.70000005</v>
      </c>
      <c r="AL64" s="131">
        <v>248169097.09999999</v>
      </c>
      <c r="AM64" s="131">
        <v>232303411.96000001</v>
      </c>
      <c r="AN64" s="131">
        <v>212900922.25999999</v>
      </c>
      <c r="AO64" s="131">
        <v>180822236.13999999</v>
      </c>
      <c r="AP64" s="131">
        <v>161961936.26000002</v>
      </c>
      <c r="AQ64" s="131">
        <v>164995236.20000002</v>
      </c>
      <c r="AR64" s="131">
        <v>153424774.41999999</v>
      </c>
      <c r="AS64" s="131">
        <v>152292690.09999999</v>
      </c>
      <c r="AT64" s="131">
        <v>130367350.34</v>
      </c>
      <c r="AU64" s="131">
        <v>133666929.94</v>
      </c>
      <c r="AV64" s="131">
        <v>140797522.90000001</v>
      </c>
      <c r="AW64" s="131">
        <v>98640437.700000003</v>
      </c>
      <c r="AX64" s="131">
        <v>374011382.92000002</v>
      </c>
      <c r="AY64" s="131">
        <v>102304964.62</v>
      </c>
      <c r="AZ64" s="131">
        <v>167554219.90000001</v>
      </c>
      <c r="BA64" s="131">
        <v>89159156.660000011</v>
      </c>
      <c r="BB64" s="131">
        <v>12181741.66</v>
      </c>
      <c r="BC64" s="131">
        <v>118571279</v>
      </c>
      <c r="BD64" s="131">
        <v>35650876.719999999</v>
      </c>
      <c r="BE64" s="131">
        <v>29789882.780000001</v>
      </c>
      <c r="BF64" s="131">
        <v>27457721.640000001</v>
      </c>
      <c r="BG64" s="131">
        <v>26367401.380000003</v>
      </c>
      <c r="BH64" s="131">
        <v>33359405.960000001</v>
      </c>
      <c r="BI64" s="131">
        <v>29028763.540000003</v>
      </c>
      <c r="BJ64" s="131">
        <v>386337.6</v>
      </c>
      <c r="BK64" s="131">
        <v>105016401.2</v>
      </c>
      <c r="BL64" s="131">
        <v>79800373</v>
      </c>
      <c r="BM64" s="131">
        <v>56654302.940000005</v>
      </c>
      <c r="BN64" s="131">
        <v>256746466.04000002</v>
      </c>
      <c r="BO64" s="131">
        <v>55998771.340000004</v>
      </c>
      <c r="BP64" s="131">
        <v>63867805.140000001</v>
      </c>
      <c r="BQ64" s="131"/>
      <c r="BR64" s="131">
        <v>46416527.900000006</v>
      </c>
      <c r="BS64" s="131">
        <v>148604652.54000002</v>
      </c>
      <c r="BT64" s="131">
        <v>37091751.859999999</v>
      </c>
      <c r="BU64" s="131"/>
      <c r="BV64" s="131">
        <v>1695623.48</v>
      </c>
      <c r="BW64" s="131">
        <v>3646210.5</v>
      </c>
      <c r="BX64" s="131">
        <v>11149356.74</v>
      </c>
      <c r="BY64" s="131">
        <v>377392</v>
      </c>
      <c r="BZ64" s="131">
        <v>22523110.496000003</v>
      </c>
      <c r="CA64" s="131">
        <v>22210734.760000002</v>
      </c>
      <c r="CB64" s="131">
        <v>53464161.600000001</v>
      </c>
      <c r="CC64" s="131">
        <v>21003494.420000002</v>
      </c>
      <c r="CD64" s="131">
        <v>10456630.539999999</v>
      </c>
      <c r="CE64" s="131">
        <v>12842628.720000001</v>
      </c>
      <c r="CF64" s="131">
        <v>3587254.3200000003</v>
      </c>
      <c r="CG64" s="131">
        <v>3141266.3600000003</v>
      </c>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row>
    <row r="65" spans="2:111" ht="63">
      <c r="B65" s="133" t="s">
        <v>188</v>
      </c>
      <c r="C65" s="154" t="s">
        <v>189</v>
      </c>
      <c r="D65" s="12" t="s">
        <v>606</v>
      </c>
      <c r="E65" s="16" t="s">
        <v>584</v>
      </c>
      <c r="F65" s="21" t="s">
        <v>592</v>
      </c>
      <c r="G65" s="25">
        <f>74000+1389100+1721000</f>
        <v>3184100</v>
      </c>
      <c r="H65" s="126">
        <f t="shared" si="5"/>
        <v>74000</v>
      </c>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v>6000</v>
      </c>
      <c r="CJ65" s="131"/>
      <c r="CK65" s="131">
        <v>12000</v>
      </c>
      <c r="CL65" s="131"/>
      <c r="CM65" s="131"/>
      <c r="CN65" s="131"/>
      <c r="CO65" s="131">
        <v>5000</v>
      </c>
      <c r="CP65" s="131">
        <v>2000</v>
      </c>
      <c r="CQ65" s="131"/>
      <c r="CR65" s="131">
        <v>17000</v>
      </c>
      <c r="CS65" s="131"/>
      <c r="CT65" s="131"/>
      <c r="CU65" s="131">
        <v>4000</v>
      </c>
      <c r="CV65" s="131"/>
      <c r="CW65" s="131">
        <v>1000</v>
      </c>
      <c r="CX65" s="131">
        <v>9000</v>
      </c>
      <c r="CY65" s="131">
        <v>2000</v>
      </c>
      <c r="CZ65" s="131"/>
      <c r="DA65" s="131"/>
      <c r="DB65" s="131">
        <v>13000</v>
      </c>
      <c r="DC65" s="131"/>
      <c r="DD65" s="131"/>
      <c r="DE65" s="131"/>
      <c r="DF65" s="131">
        <v>3000</v>
      </c>
      <c r="DG65" s="131"/>
    </row>
    <row r="66" spans="2:111">
      <c r="B66" s="137" t="s">
        <v>190</v>
      </c>
      <c r="C66" s="152" t="s">
        <v>191</v>
      </c>
      <c r="D66" s="12" t="s">
        <v>272</v>
      </c>
      <c r="E66" s="16"/>
      <c r="F66" s="21"/>
      <c r="G66" s="25"/>
      <c r="H66" s="126">
        <f t="shared" si="5"/>
        <v>0</v>
      </c>
      <c r="I66" s="131"/>
      <c r="J66" s="131"/>
      <c r="K66" s="131"/>
      <c r="L66" s="131"/>
      <c r="M66" s="131"/>
      <c r="N66" s="131"/>
      <c r="O66" s="131"/>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row>
    <row r="67" spans="2:111">
      <c r="B67" s="133" t="s">
        <v>192</v>
      </c>
      <c r="C67" s="152" t="s">
        <v>193</v>
      </c>
      <c r="D67" s="12" t="s">
        <v>272</v>
      </c>
      <c r="E67" s="16"/>
      <c r="F67" s="21"/>
      <c r="G67" s="25"/>
      <c r="H67" s="126">
        <f t="shared" si="5"/>
        <v>0</v>
      </c>
      <c r="I67" s="131"/>
      <c r="J67" s="131"/>
      <c r="K67" s="131"/>
      <c r="L67" s="131"/>
      <c r="M67" s="131"/>
      <c r="N67" s="131"/>
      <c r="O67" s="131"/>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row>
    <row r="68" spans="2:111">
      <c r="B68" s="133"/>
      <c r="C68" s="152"/>
      <c r="D68" s="2"/>
      <c r="E68" s="16"/>
      <c r="F68" s="21"/>
      <c r="G68" s="25"/>
      <c r="H68" s="126"/>
      <c r="I68" s="131"/>
      <c r="J68" s="131"/>
      <c r="K68" s="131"/>
      <c r="L68" s="131"/>
      <c r="M68" s="131"/>
      <c r="N68" s="131"/>
      <c r="O68" s="131"/>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row>
    <row r="69" spans="2:111" ht="47.25">
      <c r="B69" s="192" t="s">
        <v>498</v>
      </c>
      <c r="C69" s="152" t="s">
        <v>499</v>
      </c>
      <c r="D69" s="193" t="s">
        <v>606</v>
      </c>
      <c r="E69" s="16" t="s">
        <v>501</v>
      </c>
      <c r="F69" s="21" t="s">
        <v>590</v>
      </c>
      <c r="G69" s="25">
        <f>2562695335.56+2637093845+997607694.85+3149133549+383391115+702843000</f>
        <v>10432764539.41</v>
      </c>
      <c r="H69" s="126">
        <f>SUM(I69:DG69)</f>
        <v>3560303030.4099994</v>
      </c>
      <c r="I69" s="131"/>
      <c r="J69" s="131"/>
      <c r="K69" s="131"/>
      <c r="L69" s="131"/>
      <c r="M69" s="131"/>
      <c r="N69" s="131"/>
      <c r="O69" s="131"/>
      <c r="P69" s="131"/>
      <c r="Q69" s="131"/>
      <c r="R69" s="131"/>
      <c r="S69" s="131"/>
      <c r="T69" s="131"/>
      <c r="U69" s="131"/>
      <c r="V69" s="131"/>
      <c r="W69" s="131"/>
      <c r="X69" s="131"/>
      <c r="Y69" s="131"/>
      <c r="Z69" s="131"/>
      <c r="AA69" s="131"/>
      <c r="AB69" s="131"/>
      <c r="AC69" s="131"/>
      <c r="AD69" s="131"/>
      <c r="AE69" s="131"/>
      <c r="AF69" s="131"/>
      <c r="AG69" s="131"/>
      <c r="AH69" s="131"/>
      <c r="AI69" s="131"/>
      <c r="AJ69" s="131"/>
      <c r="AK69" s="131">
        <v>425107221.5</v>
      </c>
      <c r="AL69" s="131">
        <v>181687207.12</v>
      </c>
      <c r="AM69" s="131">
        <v>184308040.96000001</v>
      </c>
      <c r="AN69" s="131">
        <v>186681511.46000001</v>
      </c>
      <c r="AO69" s="131"/>
      <c r="AP69" s="131">
        <v>120094418.14</v>
      </c>
      <c r="AQ69" s="131">
        <v>174860651.58000001</v>
      </c>
      <c r="AR69" s="131">
        <v>160747409.08000001</v>
      </c>
      <c r="AS69" s="131">
        <v>224798436.34</v>
      </c>
      <c r="AT69" s="131">
        <v>79032314.819999993</v>
      </c>
      <c r="AU69" s="131"/>
      <c r="AV69" s="131">
        <v>9473846</v>
      </c>
      <c r="AW69" s="131">
        <v>68926142.959999993</v>
      </c>
      <c r="AX69" s="131">
        <v>99892588.340000004</v>
      </c>
      <c r="AY69" s="131">
        <v>4187671</v>
      </c>
      <c r="AZ69" s="131">
        <v>1638104</v>
      </c>
      <c r="BA69" s="131">
        <v>172819899.58000001</v>
      </c>
      <c r="BB69" s="131">
        <v>1820484</v>
      </c>
      <c r="BC69" s="131">
        <v>129714804.7</v>
      </c>
      <c r="BD69" s="131">
        <v>757117</v>
      </c>
      <c r="BE69" s="131">
        <v>502040</v>
      </c>
      <c r="BF69" s="131"/>
      <c r="BG69" s="131"/>
      <c r="BH69" s="131"/>
      <c r="BI69" s="131"/>
      <c r="BJ69" s="131">
        <v>260556</v>
      </c>
      <c r="BK69" s="131">
        <v>130351801.38000001</v>
      </c>
      <c r="BL69" s="131">
        <v>6225310</v>
      </c>
      <c r="BM69" s="131"/>
      <c r="BN69" s="131">
        <v>10315550</v>
      </c>
      <c r="BO69" s="131">
        <v>91200395.180000007</v>
      </c>
      <c r="BP69" s="131">
        <v>221361</v>
      </c>
      <c r="BQ69" s="131"/>
      <c r="BR69" s="131"/>
      <c r="BS69" s="131">
        <v>83914968.420000002</v>
      </c>
      <c r="BT69" s="131"/>
      <c r="BU69" s="131"/>
      <c r="BV69" s="131">
        <v>922210</v>
      </c>
      <c r="BW69" s="131"/>
      <c r="BX69" s="131"/>
      <c r="BY69" s="131"/>
      <c r="BZ69" s="131">
        <v>251000</v>
      </c>
      <c r="CA69" s="131"/>
      <c r="CB69" s="131">
        <v>4470955</v>
      </c>
      <c r="CC69" s="131"/>
      <c r="CD69" s="131"/>
      <c r="CE69" s="131">
        <v>7511320</v>
      </c>
      <c r="CF69" s="131"/>
      <c r="CG69" s="131"/>
      <c r="CH69" s="131"/>
      <c r="CI69" s="131"/>
      <c r="CJ69" s="131"/>
      <c r="CK69" s="131"/>
      <c r="CL69" s="131"/>
      <c r="CM69" s="131"/>
      <c r="CN69" s="131">
        <v>758269600</v>
      </c>
      <c r="CO69" s="131"/>
      <c r="CP69" s="131"/>
      <c r="CQ69" s="131"/>
      <c r="CR69" s="131">
        <v>10483516.130000001</v>
      </c>
      <c r="CS69" s="131"/>
      <c r="CT69" s="131"/>
      <c r="CU69" s="131"/>
      <c r="CV69" s="131"/>
      <c r="CW69" s="131"/>
      <c r="CX69" s="131"/>
      <c r="CY69" s="131">
        <v>1861000</v>
      </c>
      <c r="CZ69" s="131"/>
      <c r="DA69" s="131"/>
      <c r="DB69" s="131"/>
      <c r="DC69" s="131"/>
      <c r="DD69" s="131">
        <v>163187542</v>
      </c>
      <c r="DE69" s="131">
        <v>10699776.720000001</v>
      </c>
      <c r="DF69" s="131"/>
      <c r="DG69" s="131">
        <v>53106260</v>
      </c>
    </row>
    <row r="70" spans="2:111">
      <c r="B70" s="133"/>
      <c r="C70" s="152"/>
      <c r="D70" s="193"/>
      <c r="E70" s="16"/>
      <c r="F70" s="21"/>
      <c r="G70" s="25"/>
      <c r="H70" s="126"/>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row>
    <row r="71" spans="2:111">
      <c r="B71" s="148"/>
      <c r="C71" s="149"/>
      <c r="D71" s="4"/>
      <c r="E71" s="18"/>
      <c r="F71" s="23"/>
      <c r="G71" s="28"/>
      <c r="H71" s="127"/>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row>
    <row r="72" spans="2:111">
      <c r="G72" s="29"/>
    </row>
    <row r="73" spans="2:111">
      <c r="E73" s="112"/>
      <c r="F73" s="112"/>
      <c r="G73" s="113" t="s">
        <v>248</v>
      </c>
      <c r="H73" s="114" t="s">
        <v>246</v>
      </c>
    </row>
    <row r="74" spans="2:111" ht="21">
      <c r="B74" s="115" t="s">
        <v>201</v>
      </c>
      <c r="G74" s="116">
        <f>SUM(G11:G71)</f>
        <v>3351177125952.9224</v>
      </c>
      <c r="H74" s="116">
        <f>SUM(H11:H71)</f>
        <v>2765420000476.0859</v>
      </c>
    </row>
    <row r="75" spans="2:111">
      <c r="B75" s="71" t="s">
        <v>306</v>
      </c>
    </row>
    <row r="77" spans="2:111">
      <c r="C77" s="195" t="s">
        <v>596</v>
      </c>
      <c r="D77" s="196">
        <v>3404468730241.7305</v>
      </c>
    </row>
    <row r="78" spans="2:111">
      <c r="C78" s="71" t="s">
        <v>597</v>
      </c>
      <c r="D78" s="25">
        <f>28883045852.0674+12725314940+51281036+65172400+96399417</f>
        <v>41821213645.067398</v>
      </c>
    </row>
    <row r="79" spans="2:111">
      <c r="C79" s="71" t="s">
        <v>500</v>
      </c>
      <c r="D79" s="25">
        <f>6605861483.82247+4792665159.91815+71864000</f>
        <v>11470390643.74062</v>
      </c>
    </row>
    <row r="80" spans="2:111">
      <c r="C80" s="195" t="s">
        <v>598</v>
      </c>
      <c r="D80" s="196">
        <f>+D77-D78-D79</f>
        <v>3351177125952.9224</v>
      </c>
    </row>
    <row r="122" spans="3:3">
      <c r="C122" s="71" t="str">
        <f>TRIM(C73)</f>
        <v/>
      </c>
    </row>
    <row r="123" spans="3:3">
      <c r="C123" s="71" t="str">
        <f>TRIM(C74)</f>
        <v/>
      </c>
    </row>
  </sheetData>
  <mergeCells count="9">
    <mergeCell ref="H8:DG8"/>
    <mergeCell ref="H9:DG9"/>
    <mergeCell ref="B3:D3"/>
    <mergeCell ref="B4:D4"/>
    <mergeCell ref="B2:D2"/>
    <mergeCell ref="B8:D8"/>
    <mergeCell ref="B9:D9"/>
    <mergeCell ref="E9:G9"/>
    <mergeCell ref="E8:G8"/>
  </mergeCells>
  <conditionalFormatting sqref="D13 D23:D29 D17:D21 D31:D46 D57:D61 D66:D70 D48:D50">
    <cfRule type="containsText" dxfId="16" priority="18" operator="containsText" text="Including;Not Applicable;Not included">
      <formula>NOT(ISERROR(SEARCH("Including;Not Applicable;Not included",D13)))</formula>
    </cfRule>
  </conditionalFormatting>
  <conditionalFormatting sqref="D22">
    <cfRule type="containsText" dxfId="15" priority="17" operator="containsText" text="Including;Not Applicable;Not included">
      <formula>NOT(ISERROR(SEARCH("Including;Not Applicable;Not included",D22)))</formula>
    </cfRule>
  </conditionalFormatting>
  <conditionalFormatting sqref="D30">
    <cfRule type="containsText" dxfId="14" priority="15" operator="containsText" text="Including;Not Applicable;Not included">
      <formula>NOT(ISERROR(SEARCH("Including;Not Applicable;Not included",D30)))</formula>
    </cfRule>
  </conditionalFormatting>
  <conditionalFormatting sqref="D51">
    <cfRule type="containsText" dxfId="13" priority="14" operator="containsText" text="Including;Not Applicable;Not included">
      <formula>NOT(ISERROR(SEARCH("Including;Not Applicable;Not included",D51)))</formula>
    </cfRule>
  </conditionalFormatting>
  <conditionalFormatting sqref="D52">
    <cfRule type="containsText" dxfId="12" priority="13" operator="containsText" text="Including;Not Applicable;Not included">
      <formula>NOT(ISERROR(SEARCH("Including;Not Applicable;Not included",D52)))</formula>
    </cfRule>
  </conditionalFormatting>
  <conditionalFormatting sqref="D53:D54">
    <cfRule type="containsText" dxfId="11" priority="11" operator="containsText" text="Including;Not Applicable;Not included">
      <formula>NOT(ISERROR(SEARCH("Including;Not Applicable;Not included",D53)))</formula>
    </cfRule>
  </conditionalFormatting>
  <conditionalFormatting sqref="D55">
    <cfRule type="containsText" dxfId="10" priority="10" operator="containsText" text="Including;Not Applicable;Not included">
      <formula>NOT(ISERROR(SEARCH("Including;Not Applicable;Not included",D55)))</formula>
    </cfRule>
  </conditionalFormatting>
  <conditionalFormatting sqref="D62">
    <cfRule type="containsText" dxfId="9" priority="9" operator="containsText" text="Including;Not Applicable;Not included">
      <formula>NOT(ISERROR(SEARCH("Including;Not Applicable;Not included",D62)))</formula>
    </cfRule>
  </conditionalFormatting>
  <conditionalFormatting sqref="D63">
    <cfRule type="containsText" dxfId="8" priority="8" operator="containsText" text="Including;Not Applicable;Not included">
      <formula>NOT(ISERROR(SEARCH("Including;Not Applicable;Not included",D63)))</formula>
    </cfRule>
  </conditionalFormatting>
  <conditionalFormatting sqref="D14">
    <cfRule type="containsText" dxfId="7" priority="7" operator="containsText" text="Including;Not Applicable;Not included">
      <formula>NOT(ISERROR(SEARCH("Including;Not Applicable;Not included",D14)))</formula>
    </cfRule>
  </conditionalFormatting>
  <conditionalFormatting sqref="D64">
    <cfRule type="containsText" dxfId="6" priority="6" operator="containsText" text="Including;Not Applicable;Not included">
      <formula>NOT(ISERROR(SEARCH("Including;Not Applicable;Not included",D64)))</formula>
    </cfRule>
  </conditionalFormatting>
  <conditionalFormatting sqref="D15">
    <cfRule type="containsText" dxfId="5" priority="5" operator="containsText" text="Including;Not Applicable;Not included">
      <formula>NOT(ISERROR(SEARCH("Including;Not Applicable;Not included",D15)))</formula>
    </cfRule>
  </conditionalFormatting>
  <conditionalFormatting sqref="D16">
    <cfRule type="containsText" dxfId="4" priority="4" operator="containsText" text="Including;Not Applicable;Not included">
      <formula>NOT(ISERROR(SEARCH("Including;Not Applicable;Not included",D16)))</formula>
    </cfRule>
  </conditionalFormatting>
  <conditionalFormatting sqref="D47">
    <cfRule type="containsText" dxfId="3" priority="3" operator="containsText" text="Including;Not Applicable;Not included">
      <formula>NOT(ISERROR(SEARCH("Including;Not Applicable;Not included",D47)))</formula>
    </cfRule>
  </conditionalFormatting>
  <conditionalFormatting sqref="D65">
    <cfRule type="containsText" dxfId="2" priority="2" operator="containsText" text="Including;Not Applicable;Not included">
      <formula>NOT(ISERROR(SEARCH("Including;Not Applicable;Not included",D65)))</formula>
    </cfRule>
  </conditionalFormatting>
  <conditionalFormatting sqref="D56">
    <cfRule type="containsText" dxfId="1" priority="1" operator="containsText" text="Including;Not Applicable;Not included">
      <formula>NOT(ISERROR(SEARCH("Including;Not Applicable;Not included",D56)))</formula>
    </cfRule>
  </conditionalFormatting>
  <dataValidations count="19">
    <dataValidation type="list" showInputMessage="1" showErrorMessage="1" errorTitle="Unrecognized format" error="Please choose among the following options: Included, Not applicable or Not included" promptTitle="Included in EITI Report" prompt="_x000a_Please choose among the following options: _x000a__x000a_Included and reconciled_x000a_Included partially reconciled_x000a_Included not reconciled_x000a_Not included_x000a_Not applicable" sqref="D45:D47 D25:D27 D21:D23 D36 D41:D43 D29:D33 D60:D67 D49:D58 D69:D70 D13:D19" xr:uid="{79DC867D-1E4A-488C-A23D-2813087BB548}">
      <formula1>"Included and reconciled,Included not reconciled,Included partially reconciled,Not included,Not applicable,&lt;Choose option&gt;"</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AG6:DG6" xr:uid="{076C49A5-5DB3-4A77-8AED-FC87BD3ABA88}">
      <formula1>"&lt;Choose sector&gt;,Oil,Gas,Mining,NA,Oil and Gas,Other"</formula1>
    </dataValidation>
    <dataValidation type="list" showInputMessage="1" showErrorMessage="1" errorTitle="Non-standard sector" error="You have input a non-standard sector._x000a__x000a_Please select the relevant sector of the company from the list." promptTitle="Please select sector" prompt="Please select the relevant sector of the company from the list" sqref="I4 I6:AF6" xr:uid="{D1246C49-D781-497B-8A9C-5F4FAFF30F51}">
      <formula1>"&lt;Choose sector&gt;,Oil,Gas,Mining,NA,Oil &amp; Gas,Oil, Gas &amp; Mining,Other"</formula1>
    </dataValidation>
    <dataValidation type="textLength" allowBlank="1" showInputMessage="1" showErrorMessage="1" errorTitle="Non ISO currency code detected" error="Please revise according to description" promptTitle="Input currency for table B &amp; D" prompt="Input 3-letter ISO 4217 currency code:_x000a_If unsure, visit https://en.wikipedia.org/wiki/ISO_4217" sqref="G3" xr:uid="{1E0413AB-93F4-4EBD-8C67-1B1A1868425D}">
      <formula1>3</formula1>
      <formula2>3</formula2>
    </dataValidation>
    <dataValidation type="decimal" operator="greaterThan" allowBlank="1" showErrorMessage="1" errorTitle="Non-numeric value detected" error="Only include numbers in this section._x000a__x000a_Other information or comments, please include under E. Notes" sqref="J11:J12 DA32:DA71 AE60:AE71 J17:J71 I11:I71 K11:AD71 DB11:DG71 AF11:CZ71 DA11:DA30 AE11:AE58" xr:uid="{56575B36-D23A-4B64-9A96-F766B8C1362C}">
      <formula1>-1000000000000000000</formula1>
    </dataValidation>
    <dataValidation type="list" showDropDown="1" showErrorMessage="1" errorTitle="Editing attempt detected" error="Please do not edit these descriptions" sqref="G73:H73" xr:uid="{24980959-4753-4923-9E77-FA34F9CEA29B}">
      <formula1>"#ERROR!"</formula1>
    </dataValidation>
    <dataValidation type="list" showDropDown="1" showInputMessage="1" showErrorMessage="1" errorTitle="Please do not edit these cells" error="Please do not edit these cells" sqref="B2:D10 E2:G2 H2:H7 E10:H10 D11:D12 D20 D24 D28 D34:D35 D37:D40 D44 D48 D59 D71 D68 E8:DG9" xr:uid="{CE871B59-42AF-47F4-B934-8AF9C8F81D81}">
      <formula1>"#ERROR!"</formula1>
    </dataValidation>
    <dataValidation type="list" showDropDown="1" showErrorMessage="1" errorTitle="Please do not edit these cells" error="Please do not edit these cells" sqref="E6:F7 G4" xr:uid="{AE15C205-862F-43D4-830A-0F16CAB5C169}">
      <formula1>"#ERROR!"</formula1>
    </dataValidation>
    <dataValidation type="custom" allowBlank="1" showInputMessage="1" promptTitle="Name of identifier" prompt="Please input name of identifier, such as &quot;Taxpayer Identification Number&quot; or similar." sqref="G5" xr:uid="{CFA87B2B-5C0E-488B-B109-D9863C750EFF}">
      <formula1>IFERROR(OR(ISNUMBER(SEARCH("Example:",G5)),ISNUMBER(SEARCH("Example:",G5))),TRUE)</formula1>
    </dataValidation>
    <dataValidation allowBlank="1" showInputMessage="1" promptTitle="Name of register" prompt="Please input name of register or agency" sqref="G6" xr:uid="{F680BD2E-8578-481E-A482-0C835BD55AEF}"/>
    <dataValidation allowBlank="1" showInputMessage="1" showErrorMessage="1" promptTitle="Registry URL" prompt="Please insert direct URL to the registry or agency" sqref="G7" xr:uid="{E85AE8C6-8C79-45A9-84DB-DCB23DB60C9D}"/>
    <dataValidation type="list" showDropDown="1" showErrorMessage="1" errorTitle="Editing attempt detected" error="Please do not edit GFS Codes or Descriptions." sqref="B70:B71 C11:C71 B11:B68" xr:uid="{137F2FDD-36CF-42B2-A496-BDC6A986ECA5}">
      <formula1>"#ERROR!"</formula1>
    </dataValidation>
    <dataValidation type="decimal" operator="greaterThan" allowBlank="1" showErrorMessage="1" errorTitle="Non-numeric value detected" error="Please only input numeric values" sqref="D78:D79 G11:G71" xr:uid="{999E9C73-F3ED-435F-91C4-039F1885978F}">
      <formula1>0</formula1>
    </dataValidation>
    <dataValidation allowBlank="1" showInputMessage="1" promptTitle="Name of revenue stream" prompt="Please input the name of the revenue streams here._x000a__x000a_Only include revenue paid on behalf of companies. Do NOT include personal income taxes, PAYE, or other revenues paid on behalf of individuals. These may be included under E. Notes, below." sqref="E11:E12 E70:E71 E17:E68" xr:uid="{09682127-D776-402E-8E57-BB8DE9230E5E}"/>
    <dataValidation allowBlank="1" showInputMessage="1" promptTitle="Receiving government agency" prompt="Input the name of the government recipient here._x000a__x000a_Please refrain from using acronyms, and input complete name" sqref="F11:F12 F70:F71 F17:F21 F23:F68" xr:uid="{B6AF8CFB-37F3-4AA6-81A2-597B55D3A265}"/>
    <dataValidation allowBlank="1" showInputMessage="1" promptTitle="Identification #" prompt="Please input unique identification number, such as TIN, organisational number or similar" sqref="I5:DG5" xr:uid="{8C224483-5FA3-4828-BC9E-F9664F59A2E5}"/>
    <dataValidation allowBlank="1" showInputMessage="1" promptTitle="Company name" prompt="Input company name here_x000a__x000a_Please refrain from using acronyms, and input complete name" sqref="J4:DG4" xr:uid="{5E8AAF86-F2EB-4516-B8E2-6D38AC325799}"/>
    <dataValidation type="textLength" showInputMessage="1" showErrorMessage="1" errorTitle="Please insert commodities" error="Please insert the relevant commodities of the company here, separated by commas." promptTitle="Please insert commodities" prompt="Please insert the relevant commodities of the company here, separated by commas." sqref="I7:DG7" xr:uid="{8511E1F6-6C72-48F6-A83E-CADAE38B6370}">
      <formula1>1</formula1>
      <formula2>30</formula2>
    </dataValidation>
    <dataValidation type="decimal" operator="greaterThanOrEqual" allowBlank="1" showErrorMessage="1" errorTitle="Non-numeric value detected" error="Only include numbers in this section._x000a__x000a_Other information or comments, please include under E. Notes" sqref="J13:J16" xr:uid="{A254912D-798D-4E20-9C34-29E664795A41}">
      <formula1>-1000000000000000000</formula1>
    </dataValidation>
  </dataValidations>
  <pageMargins left="0.75" right="0.75" top="1" bottom="1" header="0.5" footer="0.5"/>
  <pageSetup paperSize="9" scale="47" fitToWidth="0" orientation="landscape" horizontalDpi="2400" verticalDpi="24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Y57"/>
  <sheetViews>
    <sheetView showGridLines="0" zoomScale="55" zoomScaleNormal="55" zoomScalePageLayoutView="55" workbookViewId="0"/>
  </sheetViews>
  <sheetFormatPr baseColWidth="10" defaultColWidth="10.875" defaultRowHeight="15.75"/>
  <cols>
    <col min="1" max="1" width="3.625" style="71" customWidth="1"/>
    <col min="2" max="2" width="7.375" style="71" customWidth="1"/>
    <col min="3" max="3" width="77.625" style="71" customWidth="1"/>
    <col min="4" max="4" width="46.375" style="71" customWidth="1"/>
    <col min="5" max="5" width="50.875" style="71" customWidth="1"/>
    <col min="6" max="6" width="53.625" style="71" customWidth="1"/>
    <col min="7" max="7" width="50.125" style="71" customWidth="1"/>
    <col min="8" max="8" width="16.125" style="71" customWidth="1"/>
    <col min="9" max="9" width="11.5" style="71" bestFit="1" customWidth="1"/>
    <col min="10" max="10" width="15.125" style="71" bestFit="1" customWidth="1"/>
    <col min="11" max="11" width="11.5" style="71" bestFit="1" customWidth="1"/>
    <col min="12" max="13" width="11.5" style="71" customWidth="1"/>
    <col min="14" max="14" width="12.5" style="71" bestFit="1" customWidth="1"/>
    <col min="15" max="16384" width="10.875" style="71"/>
  </cols>
  <sheetData>
    <row r="1" spans="2:77" ht="15.95" customHeight="1"/>
    <row r="2" spans="2:77" ht="26.25">
      <c r="B2" s="72" t="s">
        <v>195</v>
      </c>
      <c r="G2" s="73" t="s">
        <v>250</v>
      </c>
      <c r="H2" s="74" t="s">
        <v>198</v>
      </c>
      <c r="I2" s="75"/>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7"/>
    </row>
    <row r="3" spans="2:77">
      <c r="B3" s="78" t="s">
        <v>215</v>
      </c>
      <c r="G3" s="79" t="s">
        <v>288</v>
      </c>
      <c r="H3" s="80" t="s">
        <v>203</v>
      </c>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2"/>
    </row>
    <row r="4" spans="2:77" ht="78.75">
      <c r="B4" s="83" t="s">
        <v>249</v>
      </c>
      <c r="H4" s="84" t="s">
        <v>79</v>
      </c>
      <c r="I4" s="85" t="s">
        <v>2</v>
      </c>
      <c r="J4" s="85" t="s">
        <v>3</v>
      </c>
      <c r="K4" s="85" t="s">
        <v>4</v>
      </c>
      <c r="L4" s="85" t="s">
        <v>12</v>
      </c>
      <c r="M4" s="85" t="s">
        <v>13</v>
      </c>
      <c r="N4" s="85" t="s">
        <v>14</v>
      </c>
      <c r="O4" s="85" t="s">
        <v>15</v>
      </c>
      <c r="P4" s="85" t="s">
        <v>16</v>
      </c>
      <c r="Q4" s="85" t="s">
        <v>17</v>
      </c>
      <c r="R4" s="85" t="s">
        <v>18</v>
      </c>
      <c r="S4" s="85" t="s">
        <v>19</v>
      </c>
      <c r="T4" s="85" t="s">
        <v>20</v>
      </c>
      <c r="U4" s="85" t="s">
        <v>21</v>
      </c>
      <c r="V4" s="85" t="s">
        <v>22</v>
      </c>
      <c r="W4" s="85" t="s">
        <v>23</v>
      </c>
      <c r="X4" s="85" t="s">
        <v>24</v>
      </c>
      <c r="Y4" s="85" t="s">
        <v>25</v>
      </c>
      <c r="Z4" s="85" t="s">
        <v>26</v>
      </c>
      <c r="AA4" s="85" t="s">
        <v>27</v>
      </c>
      <c r="AB4" s="85" t="s">
        <v>28</v>
      </c>
      <c r="AC4" s="85" t="s">
        <v>29</v>
      </c>
      <c r="AD4" s="85" t="s">
        <v>30</v>
      </c>
      <c r="AE4" s="85" t="s">
        <v>31</v>
      </c>
      <c r="AF4" s="85" t="s">
        <v>32</v>
      </c>
      <c r="AG4" s="85" t="s">
        <v>33</v>
      </c>
      <c r="AH4" s="85" t="s">
        <v>34</v>
      </c>
      <c r="AI4" s="85" t="s">
        <v>35</v>
      </c>
      <c r="AJ4" s="85" t="s">
        <v>36</v>
      </c>
      <c r="AK4" s="85" t="s">
        <v>37</v>
      </c>
      <c r="AL4" s="85" t="s">
        <v>38</v>
      </c>
      <c r="AM4" s="85" t="s">
        <v>39</v>
      </c>
      <c r="AN4" s="85" t="s">
        <v>40</v>
      </c>
      <c r="AO4" s="85" t="s">
        <v>41</v>
      </c>
      <c r="AP4" s="85" t="s">
        <v>42</v>
      </c>
      <c r="AQ4" s="85" t="s">
        <v>43</v>
      </c>
      <c r="AR4" s="85" t="s">
        <v>44</v>
      </c>
      <c r="AS4" s="85" t="s">
        <v>45</v>
      </c>
      <c r="AT4" s="85" t="s">
        <v>46</v>
      </c>
      <c r="AU4" s="85" t="s">
        <v>47</v>
      </c>
      <c r="AV4" s="85" t="s">
        <v>48</v>
      </c>
      <c r="AW4" s="85" t="s">
        <v>49</v>
      </c>
      <c r="AX4" s="85" t="s">
        <v>50</v>
      </c>
      <c r="AY4" s="85" t="s">
        <v>51</v>
      </c>
      <c r="AZ4" s="85" t="s">
        <v>52</v>
      </c>
      <c r="BA4" s="85" t="s">
        <v>53</v>
      </c>
      <c r="BB4" s="85" t="s">
        <v>54</v>
      </c>
      <c r="BC4" s="85" t="s">
        <v>55</v>
      </c>
      <c r="BD4" s="85" t="s">
        <v>56</v>
      </c>
      <c r="BE4" s="85" t="s">
        <v>57</v>
      </c>
      <c r="BF4" s="85" t="s">
        <v>58</v>
      </c>
      <c r="BG4" s="85" t="s">
        <v>59</v>
      </c>
      <c r="BH4" s="85" t="s">
        <v>60</v>
      </c>
      <c r="BI4" s="85" t="s">
        <v>61</v>
      </c>
      <c r="BJ4" s="85" t="s">
        <v>62</v>
      </c>
      <c r="BK4" s="85" t="s">
        <v>63</v>
      </c>
      <c r="BL4" s="85" t="s">
        <v>64</v>
      </c>
      <c r="BM4" s="85" t="s">
        <v>65</v>
      </c>
      <c r="BN4" s="85" t="s">
        <v>66</v>
      </c>
      <c r="BO4" s="85" t="s">
        <v>67</v>
      </c>
      <c r="BP4" s="85" t="s">
        <v>68</v>
      </c>
      <c r="BQ4" s="85" t="s">
        <v>69</v>
      </c>
      <c r="BR4" s="85" t="s">
        <v>70</v>
      </c>
      <c r="BS4" s="85" t="s">
        <v>71</v>
      </c>
      <c r="BT4" s="85" t="s">
        <v>72</v>
      </c>
      <c r="BU4" s="85" t="s">
        <v>73</v>
      </c>
      <c r="BV4" s="85" t="s">
        <v>74</v>
      </c>
      <c r="BW4" s="85" t="s">
        <v>75</v>
      </c>
      <c r="BX4" s="85" t="s">
        <v>76</v>
      </c>
      <c r="BY4" s="86" t="s">
        <v>77</v>
      </c>
    </row>
    <row r="5" spans="2:77">
      <c r="B5" s="83"/>
      <c r="H5" s="87" t="s">
        <v>80</v>
      </c>
      <c r="I5" s="88">
        <v>891083092</v>
      </c>
      <c r="J5" s="88">
        <v>914807077</v>
      </c>
      <c r="K5" s="88">
        <v>989490168</v>
      </c>
      <c r="L5" s="89"/>
      <c r="M5" s="89"/>
      <c r="N5" s="90"/>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91"/>
    </row>
    <row r="6" spans="2:77">
      <c r="H6" s="92" t="s">
        <v>1</v>
      </c>
      <c r="I6" s="93" t="s">
        <v>10</v>
      </c>
      <c r="J6" s="93" t="s">
        <v>10</v>
      </c>
      <c r="K6" s="93" t="s">
        <v>10</v>
      </c>
      <c r="L6" s="93" t="s">
        <v>10</v>
      </c>
      <c r="M6" s="93" t="s">
        <v>10</v>
      </c>
      <c r="N6" s="93" t="s">
        <v>10</v>
      </c>
      <c r="O6" s="93" t="s">
        <v>10</v>
      </c>
      <c r="P6" s="93" t="s">
        <v>10</v>
      </c>
      <c r="Q6" s="93" t="s">
        <v>10</v>
      </c>
      <c r="R6" s="93" t="s">
        <v>10</v>
      </c>
      <c r="S6" s="93" t="s">
        <v>10</v>
      </c>
      <c r="T6" s="93" t="s">
        <v>10</v>
      </c>
      <c r="U6" s="93" t="s">
        <v>10</v>
      </c>
      <c r="V6" s="93" t="s">
        <v>10</v>
      </c>
      <c r="W6" s="93" t="s">
        <v>10</v>
      </c>
      <c r="X6" s="93" t="s">
        <v>10</v>
      </c>
      <c r="Y6" s="93" t="s">
        <v>10</v>
      </c>
      <c r="Z6" s="93" t="s">
        <v>10</v>
      </c>
      <c r="AA6" s="93" t="s">
        <v>10</v>
      </c>
      <c r="AB6" s="93" t="s">
        <v>10</v>
      </c>
      <c r="AC6" s="93" t="s">
        <v>10</v>
      </c>
      <c r="AD6" s="93" t="s">
        <v>10</v>
      </c>
      <c r="AE6" s="93" t="s">
        <v>10</v>
      </c>
      <c r="AF6" s="93" t="s">
        <v>10</v>
      </c>
      <c r="AG6" s="93" t="s">
        <v>10</v>
      </c>
      <c r="AH6" s="93" t="s">
        <v>10</v>
      </c>
      <c r="AI6" s="93" t="s">
        <v>10</v>
      </c>
      <c r="AJ6" s="93" t="s">
        <v>10</v>
      </c>
      <c r="AK6" s="93" t="s">
        <v>10</v>
      </c>
      <c r="AL6" s="93" t="s">
        <v>10</v>
      </c>
      <c r="AM6" s="93" t="s">
        <v>10</v>
      </c>
      <c r="AN6" s="93" t="s">
        <v>10</v>
      </c>
      <c r="AO6" s="93" t="s">
        <v>10</v>
      </c>
      <c r="AP6" s="93" t="s">
        <v>10</v>
      </c>
      <c r="AQ6" s="93" t="s">
        <v>10</v>
      </c>
      <c r="AR6" s="93" t="s">
        <v>10</v>
      </c>
      <c r="AS6" s="93" t="s">
        <v>10</v>
      </c>
      <c r="AT6" s="93" t="s">
        <v>10</v>
      </c>
      <c r="AU6" s="93" t="s">
        <v>10</v>
      </c>
      <c r="AV6" s="93" t="s">
        <v>10</v>
      </c>
      <c r="AW6" s="93" t="s">
        <v>10</v>
      </c>
      <c r="AX6" s="93" t="s">
        <v>10</v>
      </c>
      <c r="AY6" s="93" t="s">
        <v>10</v>
      </c>
      <c r="AZ6" s="93" t="s">
        <v>10</v>
      </c>
      <c r="BA6" s="93" t="s">
        <v>10</v>
      </c>
      <c r="BB6" s="93" t="s">
        <v>10</v>
      </c>
      <c r="BC6" s="93" t="s">
        <v>10</v>
      </c>
      <c r="BD6" s="93" t="s">
        <v>10</v>
      </c>
      <c r="BE6" s="93" t="s">
        <v>10</v>
      </c>
      <c r="BF6" s="93" t="s">
        <v>10</v>
      </c>
      <c r="BG6" s="93" t="s">
        <v>10</v>
      </c>
      <c r="BH6" s="93" t="s">
        <v>10</v>
      </c>
      <c r="BI6" s="93" t="s">
        <v>10</v>
      </c>
      <c r="BJ6" s="93" t="s">
        <v>10</v>
      </c>
      <c r="BK6" s="93" t="s">
        <v>10</v>
      </c>
      <c r="BL6" s="93" t="s">
        <v>10</v>
      </c>
      <c r="BM6" s="93" t="s">
        <v>10</v>
      </c>
      <c r="BN6" s="93" t="s">
        <v>10</v>
      </c>
      <c r="BO6" s="93" t="s">
        <v>10</v>
      </c>
      <c r="BP6" s="93" t="s">
        <v>10</v>
      </c>
      <c r="BQ6" s="93" t="s">
        <v>10</v>
      </c>
      <c r="BR6" s="93" t="s">
        <v>10</v>
      </c>
      <c r="BS6" s="93" t="s">
        <v>10</v>
      </c>
      <c r="BT6" s="93" t="s">
        <v>10</v>
      </c>
      <c r="BU6" s="93" t="s">
        <v>10</v>
      </c>
      <c r="BV6" s="93" t="s">
        <v>10</v>
      </c>
      <c r="BW6" s="93" t="s">
        <v>10</v>
      </c>
      <c r="BX6" s="93" t="s">
        <v>10</v>
      </c>
      <c r="BY6" s="94" t="s">
        <v>10</v>
      </c>
    </row>
    <row r="7" spans="2:77" ht="62.1" customHeight="1">
      <c r="B7" s="74" t="s">
        <v>197</v>
      </c>
      <c r="C7" s="76"/>
      <c r="D7" s="76"/>
      <c r="E7" s="241" t="s">
        <v>264</v>
      </c>
      <c r="F7" s="242"/>
      <c r="G7" s="243"/>
      <c r="H7" s="240" t="s">
        <v>251</v>
      </c>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225"/>
      <c r="BK7" s="225"/>
      <c r="BL7" s="225"/>
      <c r="BM7" s="225"/>
      <c r="BN7" s="225"/>
      <c r="BO7" s="225"/>
      <c r="BP7" s="225"/>
      <c r="BQ7" s="225"/>
      <c r="BR7" s="225"/>
      <c r="BS7" s="225"/>
      <c r="BT7" s="225"/>
      <c r="BU7" s="225"/>
      <c r="BV7" s="225"/>
      <c r="BW7" s="225"/>
      <c r="BX7" s="225"/>
      <c r="BY7" s="225"/>
    </row>
    <row r="8" spans="2:77" ht="57.75" customHeight="1">
      <c r="B8" s="234" t="s">
        <v>206</v>
      </c>
      <c r="C8" s="235"/>
      <c r="D8" s="236"/>
      <c r="E8" s="234" t="s">
        <v>252</v>
      </c>
      <c r="F8" s="235"/>
      <c r="G8" s="236"/>
      <c r="H8" s="226" t="s">
        <v>207</v>
      </c>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row>
    <row r="9" spans="2:77">
      <c r="B9" s="95" t="s">
        <v>194</v>
      </c>
      <c r="C9" s="96"/>
      <c r="D9" s="13" t="s">
        <v>111</v>
      </c>
      <c r="E9" s="14" t="s">
        <v>11</v>
      </c>
      <c r="F9" s="13" t="s">
        <v>239</v>
      </c>
      <c r="G9" s="13" t="s">
        <v>247</v>
      </c>
      <c r="H9" s="97" t="s">
        <v>78</v>
      </c>
      <c r="I9" s="98">
        <f t="shared" ref="I9:N9" si="0">SUM(I11:I54)</f>
        <v>-22762</v>
      </c>
      <c r="J9" s="98">
        <f t="shared" si="0"/>
        <v>10341612</v>
      </c>
      <c r="K9" s="98">
        <f t="shared" si="0"/>
        <v>-18710</v>
      </c>
      <c r="L9" s="98">
        <f t="shared" si="0"/>
        <v>4779</v>
      </c>
      <c r="M9" s="98">
        <f t="shared" si="0"/>
        <v>-589625</v>
      </c>
      <c r="N9" s="98">
        <f t="shared" si="0"/>
        <v>33305</v>
      </c>
      <c r="O9" s="98">
        <f t="shared" ref="O9:BY9" si="1">SUM(O11:O54)</f>
        <v>-38891</v>
      </c>
      <c r="P9" s="98">
        <f t="shared" si="1"/>
        <v>-47810</v>
      </c>
      <c r="Q9" s="98">
        <f t="shared" si="1"/>
        <v>1852737</v>
      </c>
      <c r="R9" s="98">
        <f t="shared" si="1"/>
        <v>187192.58</v>
      </c>
      <c r="S9" s="98">
        <f t="shared" si="1"/>
        <v>-122270.41</v>
      </c>
      <c r="T9" s="98">
        <f t="shared" si="1"/>
        <v>15436034</v>
      </c>
      <c r="U9" s="98">
        <f t="shared" si="1"/>
        <v>176068</v>
      </c>
      <c r="V9" s="98">
        <f t="shared" si="1"/>
        <v>-77620</v>
      </c>
      <c r="W9" s="98">
        <f t="shared" si="1"/>
        <v>-1429916.44</v>
      </c>
      <c r="X9" s="98">
        <f t="shared" si="1"/>
        <v>2642755</v>
      </c>
      <c r="Y9" s="98">
        <f t="shared" si="1"/>
        <v>-7985</v>
      </c>
      <c r="Z9" s="98">
        <f t="shared" si="1"/>
        <v>-365272</v>
      </c>
      <c r="AA9" s="98">
        <f t="shared" si="1"/>
        <v>-137362</v>
      </c>
      <c r="AB9" s="98">
        <f t="shared" si="1"/>
        <v>9264035</v>
      </c>
      <c r="AC9" s="98">
        <f t="shared" si="1"/>
        <v>0</v>
      </c>
      <c r="AD9" s="98">
        <f t="shared" si="1"/>
        <v>1179842</v>
      </c>
      <c r="AE9" s="98">
        <f t="shared" si="1"/>
        <v>-14519</v>
      </c>
      <c r="AF9" s="98">
        <f t="shared" si="1"/>
        <v>32517725</v>
      </c>
      <c r="AG9" s="98">
        <f t="shared" si="1"/>
        <v>157583</v>
      </c>
      <c r="AH9" s="98">
        <f t="shared" si="1"/>
        <v>-84686</v>
      </c>
      <c r="AI9" s="98">
        <f t="shared" si="1"/>
        <v>-379675</v>
      </c>
      <c r="AJ9" s="98">
        <f t="shared" si="1"/>
        <v>2707073</v>
      </c>
      <c r="AK9" s="98">
        <f t="shared" si="1"/>
        <v>-12791</v>
      </c>
      <c r="AL9" s="98">
        <f t="shared" si="1"/>
        <v>1437624</v>
      </c>
      <c r="AM9" s="98">
        <f t="shared" si="1"/>
        <v>487678</v>
      </c>
      <c r="AN9" s="98">
        <f t="shared" si="1"/>
        <v>-50878</v>
      </c>
      <c r="AO9" s="98">
        <f t="shared" si="1"/>
        <v>0</v>
      </c>
      <c r="AP9" s="98">
        <f t="shared" si="1"/>
        <v>2323280</v>
      </c>
      <c r="AQ9" s="98">
        <f t="shared" si="1"/>
        <v>-707208</v>
      </c>
      <c r="AR9" s="98">
        <f t="shared" si="1"/>
        <v>13689053</v>
      </c>
      <c r="AS9" s="98">
        <f t="shared" si="1"/>
        <v>-268927</v>
      </c>
      <c r="AT9" s="98">
        <f t="shared" si="1"/>
        <v>569316.17000000004</v>
      </c>
      <c r="AU9" s="98">
        <f t="shared" si="1"/>
        <v>2</v>
      </c>
      <c r="AV9" s="98">
        <f t="shared" si="1"/>
        <v>311</v>
      </c>
      <c r="AW9" s="98">
        <f t="shared" si="1"/>
        <v>228751</v>
      </c>
      <c r="AX9" s="98">
        <f t="shared" si="1"/>
        <v>-26715</v>
      </c>
      <c r="AY9" s="98">
        <f t="shared" si="1"/>
        <v>-539013</v>
      </c>
      <c r="AZ9" s="98">
        <f t="shared" si="1"/>
        <v>-524337</v>
      </c>
      <c r="BA9" s="98">
        <f t="shared" si="1"/>
        <v>-646001</v>
      </c>
      <c r="BB9" s="98">
        <f t="shared" si="1"/>
        <v>146929996</v>
      </c>
      <c r="BC9" s="98">
        <f t="shared" si="1"/>
        <v>-11919</v>
      </c>
      <c r="BD9" s="98">
        <f t="shared" si="1"/>
        <v>-230237</v>
      </c>
      <c r="BE9" s="98">
        <f t="shared" si="1"/>
        <v>-328388</v>
      </c>
      <c r="BF9" s="98">
        <f t="shared" si="1"/>
        <v>4854</v>
      </c>
      <c r="BG9" s="98">
        <f t="shared" si="1"/>
        <v>-229425</v>
      </c>
      <c r="BH9" s="98">
        <f t="shared" si="1"/>
        <v>0</v>
      </c>
      <c r="BI9" s="98">
        <f t="shared" si="1"/>
        <v>-518272.41</v>
      </c>
      <c r="BJ9" s="98">
        <f t="shared" si="1"/>
        <v>916705.57</v>
      </c>
      <c r="BK9" s="98">
        <f t="shared" si="1"/>
        <v>869556</v>
      </c>
      <c r="BL9" s="98">
        <f t="shared" si="1"/>
        <v>-113336</v>
      </c>
      <c r="BM9" s="98">
        <f t="shared" si="1"/>
        <v>-156575.28</v>
      </c>
      <c r="BN9" s="98">
        <f t="shared" si="1"/>
        <v>3097146</v>
      </c>
      <c r="BO9" s="98">
        <f t="shared" si="1"/>
        <v>128248457</v>
      </c>
      <c r="BP9" s="98">
        <f t="shared" si="1"/>
        <v>-13773</v>
      </c>
      <c r="BQ9" s="98">
        <f t="shared" si="1"/>
        <v>-354802</v>
      </c>
      <c r="BR9" s="98">
        <f t="shared" si="1"/>
        <v>-191267</v>
      </c>
      <c r="BS9" s="98">
        <f t="shared" si="1"/>
        <v>403140</v>
      </c>
      <c r="BT9" s="98">
        <f t="shared" si="1"/>
        <v>27646632</v>
      </c>
      <c r="BU9" s="98">
        <f t="shared" si="1"/>
        <v>-79993</v>
      </c>
      <c r="BV9" s="98">
        <f t="shared" si="1"/>
        <v>-464900</v>
      </c>
      <c r="BW9" s="98">
        <f t="shared" si="1"/>
        <v>-108028</v>
      </c>
      <c r="BX9" s="98">
        <f t="shared" si="1"/>
        <v>-252258.15000000002</v>
      </c>
      <c r="BY9" s="98">
        <f t="shared" si="1"/>
        <v>-662887</v>
      </c>
    </row>
    <row r="10" spans="2:77">
      <c r="B10" s="99" t="s">
        <v>118</v>
      </c>
      <c r="C10" s="100" t="s">
        <v>119</v>
      </c>
      <c r="D10" s="3"/>
      <c r="E10" s="16"/>
      <c r="F10" s="24"/>
      <c r="G10" s="25"/>
      <c r="H10" s="15">
        <f t="shared" ref="H10:H53" si="2">SUM(I10:BY10)</f>
        <v>0</v>
      </c>
    </row>
    <row r="11" spans="2:77">
      <c r="B11" s="101" t="s">
        <v>120</v>
      </c>
      <c r="C11" s="102" t="s">
        <v>121</v>
      </c>
      <c r="D11" s="2"/>
      <c r="E11" s="16"/>
      <c r="F11" s="21"/>
      <c r="G11" s="25"/>
      <c r="H11" s="15">
        <f t="shared" si="2"/>
        <v>0</v>
      </c>
    </row>
    <row r="12" spans="2:77">
      <c r="B12" s="103" t="s">
        <v>122</v>
      </c>
      <c r="C12" s="1" t="s">
        <v>123</v>
      </c>
      <c r="D12" s="12" t="s">
        <v>7</v>
      </c>
      <c r="E12" s="16" t="s">
        <v>293</v>
      </c>
      <c r="F12" s="21" t="s">
        <v>240</v>
      </c>
      <c r="G12" s="25"/>
      <c r="H12" s="15">
        <f t="shared" si="2"/>
        <v>0</v>
      </c>
    </row>
    <row r="13" spans="2:77">
      <c r="B13" s="103" t="s">
        <v>124</v>
      </c>
      <c r="C13" s="1" t="s">
        <v>125</v>
      </c>
      <c r="D13" s="12" t="s">
        <v>7</v>
      </c>
      <c r="E13" s="16" t="s">
        <v>294</v>
      </c>
      <c r="F13" s="21" t="s">
        <v>240</v>
      </c>
      <c r="G13" s="25">
        <v>228670845.63</v>
      </c>
      <c r="H13" s="15">
        <f>SUM(I13:BY13)</f>
        <v>228670845.63</v>
      </c>
      <c r="I13" s="71">
        <v>-22762</v>
      </c>
      <c r="J13" s="71">
        <v>10281480</v>
      </c>
      <c r="K13" s="71">
        <v>-18710</v>
      </c>
      <c r="L13" s="71">
        <v>4779</v>
      </c>
      <c r="M13" s="71">
        <v>-652825</v>
      </c>
      <c r="N13" s="71">
        <v>-101407</v>
      </c>
      <c r="O13" s="71">
        <v>-38891</v>
      </c>
      <c r="P13" s="71">
        <v>-47810</v>
      </c>
      <c r="Q13" s="71">
        <v>1786015</v>
      </c>
      <c r="R13" s="71">
        <v>187192.58</v>
      </c>
      <c r="S13" s="71">
        <v>-122270.41</v>
      </c>
      <c r="T13" s="71">
        <v>15145455</v>
      </c>
      <c r="U13" s="71">
        <v>176068</v>
      </c>
      <c r="V13" s="71">
        <v>-77620</v>
      </c>
      <c r="W13" s="71">
        <v>-1467636.44</v>
      </c>
      <c r="X13" s="71">
        <v>2625595</v>
      </c>
      <c r="Y13" s="71">
        <v>-7985</v>
      </c>
      <c r="Z13" s="71">
        <v>-370914</v>
      </c>
      <c r="AA13" s="71">
        <v>-137362</v>
      </c>
      <c r="AB13" s="71">
        <v>9212315</v>
      </c>
      <c r="AC13" s="71">
        <v>0</v>
      </c>
      <c r="AD13" s="71">
        <v>1179842</v>
      </c>
      <c r="AE13" s="71">
        <v>-14519</v>
      </c>
      <c r="AF13" s="71">
        <v>32463676</v>
      </c>
      <c r="AG13" s="71">
        <v>157583</v>
      </c>
      <c r="AH13" s="71">
        <v>-84686</v>
      </c>
      <c r="AI13" s="71">
        <v>-379675</v>
      </c>
      <c r="AJ13" s="71">
        <v>2677933</v>
      </c>
      <c r="AK13" s="71">
        <v>-10391</v>
      </c>
      <c r="AL13" s="71">
        <v>1437624</v>
      </c>
      <c r="AM13" s="71">
        <v>487678</v>
      </c>
      <c r="AN13" s="71">
        <v>-50878</v>
      </c>
      <c r="AO13" s="71">
        <v>0</v>
      </c>
      <c r="AP13" s="71">
        <v>2247582</v>
      </c>
      <c r="AQ13" s="71">
        <v>-707103</v>
      </c>
      <c r="AR13" s="71">
        <v>13617787</v>
      </c>
      <c r="AS13" s="71">
        <v>-268927</v>
      </c>
      <c r="AT13" s="71">
        <v>569316.17000000004</v>
      </c>
      <c r="AU13" s="71">
        <v>2</v>
      </c>
      <c r="AV13" s="71">
        <v>311</v>
      </c>
      <c r="AW13" s="71">
        <v>228751</v>
      </c>
      <c r="AX13" s="71">
        <v>-26715</v>
      </c>
      <c r="AY13" s="71">
        <v>-540156</v>
      </c>
      <c r="AZ13" s="71">
        <v>-524337</v>
      </c>
      <c r="BA13" s="71">
        <v>-646001</v>
      </c>
      <c r="BB13" s="71">
        <v>0</v>
      </c>
      <c r="BC13" s="71">
        <v>-11919</v>
      </c>
      <c r="BD13" s="71">
        <v>-230237</v>
      </c>
      <c r="BE13" s="71">
        <v>-328641</v>
      </c>
      <c r="BF13" s="71">
        <v>4854</v>
      </c>
      <c r="BG13" s="71">
        <v>-229425</v>
      </c>
      <c r="BH13" s="71">
        <v>0</v>
      </c>
      <c r="BI13" s="71">
        <v>-518272.41</v>
      </c>
      <c r="BJ13" s="71">
        <v>809615.57</v>
      </c>
      <c r="BK13" s="71">
        <v>869556</v>
      </c>
      <c r="BL13" s="71">
        <v>-113336</v>
      </c>
      <c r="BM13" s="71">
        <v>-156575.28</v>
      </c>
      <c r="BN13" s="71">
        <v>3097146</v>
      </c>
      <c r="BO13" s="71">
        <v>111686465</v>
      </c>
      <c r="BP13" s="71">
        <v>-13773</v>
      </c>
      <c r="BQ13" s="71">
        <v>-410584</v>
      </c>
      <c r="BR13" s="71">
        <v>-191267</v>
      </c>
      <c r="BS13" s="71">
        <v>321288</v>
      </c>
      <c r="BT13" s="71">
        <v>27570912</v>
      </c>
      <c r="BU13" s="71">
        <v>-79993</v>
      </c>
      <c r="BV13" s="71">
        <v>-464900</v>
      </c>
      <c r="BW13" s="71">
        <v>-108028</v>
      </c>
      <c r="BX13" s="71">
        <v>-281178.15000000002</v>
      </c>
      <c r="BY13" s="71">
        <v>-718266</v>
      </c>
    </row>
    <row r="14" spans="2:77">
      <c r="B14" s="103" t="s">
        <v>126</v>
      </c>
      <c r="C14" s="1" t="s">
        <v>127</v>
      </c>
      <c r="D14" s="12" t="s">
        <v>5</v>
      </c>
      <c r="E14" s="16"/>
      <c r="F14" s="21"/>
      <c r="G14" s="25"/>
      <c r="H14" s="15">
        <f t="shared" si="2"/>
        <v>0</v>
      </c>
    </row>
    <row r="15" spans="2:77">
      <c r="B15" s="103" t="s">
        <v>128</v>
      </c>
      <c r="C15" s="1" t="s">
        <v>129</v>
      </c>
      <c r="D15" s="12" t="s">
        <v>6</v>
      </c>
      <c r="E15" s="16"/>
      <c r="F15" s="21"/>
      <c r="G15" s="25"/>
      <c r="H15" s="15">
        <f t="shared" si="2"/>
        <v>0</v>
      </c>
    </row>
    <row r="16" spans="2:77">
      <c r="B16" s="104" t="s">
        <v>130</v>
      </c>
      <c r="C16" s="102" t="s">
        <v>131</v>
      </c>
      <c r="D16" s="2"/>
      <c r="E16" s="16"/>
      <c r="F16" s="21"/>
      <c r="G16" s="25"/>
      <c r="H16" s="15">
        <f t="shared" si="2"/>
        <v>0</v>
      </c>
    </row>
    <row r="17" spans="2:77">
      <c r="B17" s="103" t="s">
        <v>132</v>
      </c>
      <c r="C17" s="1" t="s">
        <v>133</v>
      </c>
      <c r="D17" s="12" t="s">
        <v>6</v>
      </c>
      <c r="E17" s="16"/>
      <c r="F17" s="21"/>
      <c r="G17" s="25"/>
      <c r="H17" s="15">
        <f t="shared" si="2"/>
        <v>0</v>
      </c>
    </row>
    <row r="18" spans="2:77">
      <c r="B18" s="103" t="s">
        <v>134</v>
      </c>
      <c r="C18" s="1" t="s">
        <v>135</v>
      </c>
      <c r="D18" s="12" t="s">
        <v>6</v>
      </c>
      <c r="E18" s="16"/>
      <c r="F18" s="21"/>
      <c r="G18" s="25"/>
      <c r="H18" s="15">
        <f t="shared" si="2"/>
        <v>0</v>
      </c>
    </row>
    <row r="19" spans="2:77">
      <c r="B19" s="103" t="s">
        <v>136</v>
      </c>
      <c r="C19" s="1" t="s">
        <v>137</v>
      </c>
      <c r="D19" s="12" t="s">
        <v>6</v>
      </c>
      <c r="E19" s="16"/>
      <c r="F19" s="21"/>
      <c r="G19" s="25"/>
      <c r="H19" s="15">
        <f t="shared" si="2"/>
        <v>0</v>
      </c>
    </row>
    <row r="20" spans="2:77">
      <c r="B20" s="104" t="s">
        <v>138</v>
      </c>
      <c r="C20" s="102" t="s">
        <v>139</v>
      </c>
      <c r="D20" s="3"/>
      <c r="E20" s="16"/>
      <c r="F20" s="21"/>
      <c r="G20" s="25"/>
      <c r="H20" s="15">
        <f t="shared" si="2"/>
        <v>0</v>
      </c>
    </row>
    <row r="21" spans="2:77">
      <c r="B21" s="103" t="s">
        <v>140</v>
      </c>
      <c r="C21" s="1" t="s">
        <v>141</v>
      </c>
      <c r="D21" s="12" t="s">
        <v>7</v>
      </c>
      <c r="E21" s="16" t="s">
        <v>245</v>
      </c>
      <c r="F21" s="21" t="s">
        <v>241</v>
      </c>
      <c r="G21" s="25">
        <v>1781115</v>
      </c>
      <c r="H21" s="15">
        <f t="shared" si="2"/>
        <v>1781115</v>
      </c>
      <c r="J21" s="71">
        <v>34860</v>
      </c>
      <c r="M21" s="71">
        <v>61499</v>
      </c>
      <c r="N21" s="71">
        <v>62064</v>
      </c>
      <c r="Q21" s="71">
        <v>66722</v>
      </c>
      <c r="T21" s="71">
        <v>63687</v>
      </c>
      <c r="W21" s="71">
        <v>37720</v>
      </c>
      <c r="X21" s="71">
        <v>17160</v>
      </c>
      <c r="Z21" s="71">
        <v>5642</v>
      </c>
      <c r="AB21" s="71">
        <v>51720</v>
      </c>
      <c r="AF21" s="71">
        <v>8720</v>
      </c>
      <c r="AJ21" s="71">
        <v>9240</v>
      </c>
      <c r="AK21" s="71">
        <v>-2400</v>
      </c>
      <c r="AP21" s="71">
        <v>75698</v>
      </c>
      <c r="AQ21" s="71">
        <v>-1740</v>
      </c>
      <c r="AR21" s="71">
        <v>36546</v>
      </c>
      <c r="BJ21" s="71">
        <v>107090</v>
      </c>
      <c r="BO21" s="71">
        <v>877497</v>
      </c>
      <c r="BQ21" s="71">
        <v>55782</v>
      </c>
      <c r="BS21" s="71">
        <v>59874</v>
      </c>
      <c r="BT21" s="71">
        <v>75720</v>
      </c>
      <c r="BX21" s="71">
        <v>28920</v>
      </c>
      <c r="BY21" s="71">
        <v>49094</v>
      </c>
    </row>
    <row r="22" spans="2:77">
      <c r="B22" s="103" t="s">
        <v>142</v>
      </c>
      <c r="C22" s="1" t="s">
        <v>143</v>
      </c>
      <c r="D22" s="12" t="s">
        <v>7</v>
      </c>
      <c r="E22" s="16" t="s">
        <v>244</v>
      </c>
      <c r="F22" s="21" t="s">
        <v>241</v>
      </c>
      <c r="G22" s="25">
        <v>2251322</v>
      </c>
      <c r="H22" s="15">
        <f t="shared" si="2"/>
        <v>2251322</v>
      </c>
      <c r="I22" s="105"/>
      <c r="J22" s="105">
        <v>26460</v>
      </c>
      <c r="K22" s="105"/>
      <c r="L22" s="105"/>
      <c r="M22" s="105"/>
      <c r="N22" s="105">
        <v>72648</v>
      </c>
      <c r="O22" s="105"/>
      <c r="P22" s="105"/>
      <c r="Q22" s="105"/>
      <c r="R22" s="105"/>
      <c r="S22" s="105"/>
      <c r="T22" s="105">
        <v>226892</v>
      </c>
      <c r="U22" s="105"/>
      <c r="V22" s="105"/>
      <c r="W22" s="105"/>
      <c r="X22" s="105"/>
      <c r="Y22" s="105"/>
      <c r="Z22" s="105"/>
      <c r="AA22" s="105"/>
      <c r="AB22" s="105"/>
      <c r="AC22" s="105"/>
      <c r="AD22" s="105"/>
      <c r="AE22" s="105"/>
      <c r="AF22" s="105">
        <v>45329</v>
      </c>
      <c r="AG22" s="105"/>
      <c r="AH22" s="105"/>
      <c r="AI22" s="105"/>
      <c r="AJ22" s="105">
        <v>19900</v>
      </c>
      <c r="AK22" s="105"/>
      <c r="AL22" s="105"/>
      <c r="AM22" s="105"/>
      <c r="AN22" s="105"/>
      <c r="AO22" s="105"/>
      <c r="AP22" s="105"/>
      <c r="AQ22" s="105"/>
      <c r="AR22" s="105">
        <v>34720</v>
      </c>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v>1797495</v>
      </c>
      <c r="BP22" s="105"/>
      <c r="BQ22" s="105"/>
      <c r="BR22" s="105"/>
      <c r="BS22" s="105">
        <v>21978</v>
      </c>
      <c r="BT22" s="105"/>
      <c r="BU22" s="105"/>
      <c r="BV22" s="105"/>
      <c r="BW22" s="105"/>
      <c r="BX22" s="105"/>
      <c r="BY22" s="105">
        <v>5900</v>
      </c>
    </row>
    <row r="23" spans="2:77">
      <c r="B23" s="103" t="s">
        <v>142</v>
      </c>
      <c r="C23" s="1" t="s">
        <v>143</v>
      </c>
      <c r="D23" s="12" t="s">
        <v>7</v>
      </c>
      <c r="E23" s="16" t="s">
        <v>243</v>
      </c>
      <c r="F23" s="1" t="s">
        <v>242</v>
      </c>
      <c r="G23" s="26">
        <v>3929</v>
      </c>
      <c r="H23" s="15">
        <f t="shared" si="2"/>
        <v>3929</v>
      </c>
      <c r="I23" s="105"/>
      <c r="J23" s="105">
        <v>-1188</v>
      </c>
      <c r="K23" s="105"/>
      <c r="L23" s="105"/>
      <c r="M23" s="105">
        <v>1701</v>
      </c>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v>1635</v>
      </c>
      <c r="AR23" s="105"/>
      <c r="AS23" s="105"/>
      <c r="AT23" s="105"/>
      <c r="AU23" s="105"/>
      <c r="AV23" s="105"/>
      <c r="AW23" s="105"/>
      <c r="AX23" s="105"/>
      <c r="AY23" s="105">
        <v>1143</v>
      </c>
      <c r="AZ23" s="105"/>
      <c r="BA23" s="105"/>
      <c r="BB23" s="105"/>
      <c r="BC23" s="105"/>
      <c r="BD23" s="105"/>
      <c r="BE23" s="105">
        <v>253</v>
      </c>
      <c r="BF23" s="105"/>
      <c r="BG23" s="105"/>
      <c r="BH23" s="105"/>
      <c r="BI23" s="105"/>
      <c r="BJ23" s="105"/>
      <c r="BK23" s="105"/>
      <c r="BL23" s="105"/>
      <c r="BM23" s="105"/>
      <c r="BN23" s="105"/>
      <c r="BO23" s="105"/>
      <c r="BP23" s="105"/>
      <c r="BQ23" s="105"/>
      <c r="BR23" s="105"/>
      <c r="BS23" s="105"/>
      <c r="BT23" s="105"/>
      <c r="BU23" s="105"/>
      <c r="BV23" s="105"/>
      <c r="BW23" s="105"/>
      <c r="BX23" s="105"/>
      <c r="BY23" s="105">
        <v>385</v>
      </c>
    </row>
    <row r="24" spans="2:77">
      <c r="B24" s="103" t="s">
        <v>144</v>
      </c>
      <c r="C24" s="1" t="s">
        <v>145</v>
      </c>
      <c r="D24" s="12" t="s">
        <v>6</v>
      </c>
      <c r="E24" s="16"/>
      <c r="F24" s="21"/>
      <c r="G24" s="25"/>
      <c r="H24" s="15">
        <f t="shared" si="2"/>
        <v>0</v>
      </c>
    </row>
    <row r="25" spans="2:77">
      <c r="B25" s="101" t="s">
        <v>146</v>
      </c>
      <c r="C25" s="102" t="s">
        <v>147</v>
      </c>
      <c r="D25" s="3"/>
      <c r="E25" s="16"/>
      <c r="F25" s="21"/>
      <c r="G25" s="25"/>
      <c r="H25" s="15">
        <f t="shared" si="2"/>
        <v>0</v>
      </c>
    </row>
    <row r="26" spans="2:77">
      <c r="B26" s="103" t="s">
        <v>148</v>
      </c>
      <c r="C26" s="1" t="s">
        <v>149</v>
      </c>
      <c r="D26" s="12" t="s">
        <v>6</v>
      </c>
      <c r="E26" s="16"/>
      <c r="F26" s="21"/>
      <c r="G26" s="25"/>
      <c r="H26" s="15">
        <f t="shared" si="2"/>
        <v>0</v>
      </c>
    </row>
    <row r="27" spans="2:77">
      <c r="B27" s="103" t="s">
        <v>150</v>
      </c>
      <c r="C27" s="1" t="s">
        <v>151</v>
      </c>
      <c r="D27" s="12" t="s">
        <v>6</v>
      </c>
      <c r="E27" s="16"/>
      <c r="F27" s="21"/>
      <c r="G27" s="25"/>
      <c r="H27" s="15">
        <f t="shared" si="2"/>
        <v>0</v>
      </c>
    </row>
    <row r="28" spans="2:77">
      <c r="B28" s="103" t="s">
        <v>152</v>
      </c>
      <c r="C28" s="1" t="s">
        <v>153</v>
      </c>
      <c r="D28" s="19" t="s">
        <v>6</v>
      </c>
      <c r="E28" s="16"/>
      <c r="F28" s="21"/>
      <c r="G28" s="25"/>
      <c r="H28" s="15">
        <f t="shared" si="2"/>
        <v>0</v>
      </c>
    </row>
    <row r="29" spans="2:77">
      <c r="B29" s="103" t="s">
        <v>154</v>
      </c>
      <c r="C29" s="1" t="s">
        <v>155</v>
      </c>
      <c r="D29" s="12" t="s">
        <v>6</v>
      </c>
      <c r="E29" s="16"/>
      <c r="F29" s="21"/>
      <c r="G29" s="25"/>
      <c r="H29" s="15">
        <f t="shared" si="2"/>
        <v>0</v>
      </c>
    </row>
    <row r="30" spans="2:77">
      <c r="B30" s="106"/>
      <c r="C30" s="1"/>
      <c r="D30" s="3"/>
      <c r="E30" s="16"/>
      <c r="F30" s="21"/>
      <c r="G30" s="25"/>
      <c r="H30" s="15">
        <f t="shared" si="2"/>
        <v>0</v>
      </c>
    </row>
    <row r="31" spans="2:77">
      <c r="B31" s="107" t="s">
        <v>156</v>
      </c>
      <c r="C31" s="100" t="s">
        <v>157</v>
      </c>
      <c r="D31" s="2"/>
      <c r="E31" s="16"/>
      <c r="F31" s="21"/>
      <c r="G31" s="25"/>
      <c r="H31" s="15">
        <f t="shared" si="2"/>
        <v>0</v>
      </c>
    </row>
    <row r="32" spans="2:77">
      <c r="B32" s="103" t="s">
        <v>158</v>
      </c>
      <c r="C32" s="1" t="s">
        <v>159</v>
      </c>
      <c r="D32" s="12" t="s">
        <v>5</v>
      </c>
      <c r="E32" s="16"/>
      <c r="F32" s="21"/>
      <c r="G32" s="25"/>
      <c r="H32" s="15">
        <f t="shared" si="2"/>
        <v>0</v>
      </c>
    </row>
    <row r="33" spans="2:77">
      <c r="B33" s="106"/>
      <c r="C33" s="108"/>
      <c r="D33" s="3"/>
      <c r="E33" s="16"/>
      <c r="F33" s="21"/>
      <c r="G33" s="25"/>
      <c r="H33" s="15">
        <f t="shared" si="2"/>
        <v>0</v>
      </c>
    </row>
    <row r="34" spans="2:77">
      <c r="B34" s="107" t="s">
        <v>160</v>
      </c>
      <c r="C34" s="100" t="s">
        <v>0</v>
      </c>
      <c r="D34" s="3"/>
      <c r="E34" s="16"/>
      <c r="F34" s="21"/>
      <c r="G34" s="25"/>
      <c r="H34" s="15">
        <f t="shared" si="2"/>
        <v>0</v>
      </c>
    </row>
    <row r="35" spans="2:77">
      <c r="B35" s="104" t="s">
        <v>161</v>
      </c>
      <c r="C35" s="102" t="s">
        <v>162</v>
      </c>
      <c r="D35" s="3"/>
      <c r="E35" s="16"/>
      <c r="F35" s="21"/>
      <c r="G35" s="25"/>
      <c r="H35" s="15">
        <f t="shared" si="2"/>
        <v>0</v>
      </c>
    </row>
    <row r="36" spans="2:77">
      <c r="B36" s="104" t="s">
        <v>163</v>
      </c>
      <c r="C36" s="102" t="s">
        <v>164</v>
      </c>
      <c r="D36" s="3"/>
      <c r="E36" s="16"/>
      <c r="F36" s="21"/>
      <c r="G36" s="25"/>
      <c r="H36" s="15">
        <f t="shared" si="2"/>
        <v>0</v>
      </c>
    </row>
    <row r="37" spans="2:77">
      <c r="B37" s="103" t="s">
        <v>165</v>
      </c>
      <c r="C37" s="1" t="s">
        <v>166</v>
      </c>
      <c r="D37" s="12" t="s">
        <v>6</v>
      </c>
      <c r="E37" s="16"/>
      <c r="F37" s="21"/>
      <c r="G37" s="25"/>
      <c r="H37" s="15">
        <f t="shared" si="2"/>
        <v>0</v>
      </c>
    </row>
    <row r="38" spans="2:77">
      <c r="B38" s="103" t="s">
        <v>167</v>
      </c>
      <c r="C38" s="1" t="s">
        <v>168</v>
      </c>
      <c r="D38" s="12" t="s">
        <v>7</v>
      </c>
      <c r="E38" s="5" t="s">
        <v>9</v>
      </c>
      <c r="F38" s="1" t="s">
        <v>112</v>
      </c>
      <c r="G38" s="26">
        <v>13887000</v>
      </c>
      <c r="H38" s="15">
        <f t="shared" si="2"/>
        <v>13887000</v>
      </c>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v>13887000</v>
      </c>
      <c r="BP38" s="105"/>
      <c r="BQ38" s="105"/>
      <c r="BR38" s="105"/>
      <c r="BS38" s="105"/>
      <c r="BT38" s="105"/>
      <c r="BU38" s="105"/>
      <c r="BV38" s="105"/>
      <c r="BW38" s="105"/>
      <c r="BX38" s="105"/>
      <c r="BY38" s="105"/>
    </row>
    <row r="39" spans="2:77">
      <c r="B39" s="103" t="s">
        <v>169</v>
      </c>
      <c r="C39" s="1" t="s">
        <v>170</v>
      </c>
      <c r="D39" s="12" t="s">
        <v>7</v>
      </c>
      <c r="E39" s="5" t="s">
        <v>8</v>
      </c>
      <c r="F39" s="1" t="s">
        <v>112</v>
      </c>
      <c r="G39" s="26">
        <v>146929996</v>
      </c>
      <c r="H39" s="15">
        <f t="shared" si="2"/>
        <v>146929996</v>
      </c>
      <c r="BB39" s="71">
        <v>146929996</v>
      </c>
    </row>
    <row r="40" spans="2:77">
      <c r="B40" s="104" t="s">
        <v>171</v>
      </c>
      <c r="C40" s="102" t="s">
        <v>172</v>
      </c>
      <c r="D40" s="2"/>
      <c r="E40" s="16"/>
      <c r="F40" s="21"/>
      <c r="G40" s="25"/>
      <c r="H40" s="15">
        <f t="shared" si="2"/>
        <v>0</v>
      </c>
    </row>
    <row r="41" spans="2:77">
      <c r="B41" s="103" t="s">
        <v>173</v>
      </c>
      <c r="C41" s="1" t="s">
        <v>174</v>
      </c>
      <c r="D41" s="12" t="s">
        <v>6</v>
      </c>
      <c r="E41" s="16"/>
      <c r="F41" s="21"/>
      <c r="G41" s="25"/>
      <c r="H41" s="15">
        <f t="shared" si="2"/>
        <v>0</v>
      </c>
    </row>
    <row r="42" spans="2:77">
      <c r="B42" s="103" t="s">
        <v>175</v>
      </c>
      <c r="C42" s="1" t="s">
        <v>176</v>
      </c>
      <c r="D42" s="12" t="s">
        <v>6</v>
      </c>
      <c r="E42" s="16"/>
      <c r="F42" s="21"/>
      <c r="G42" s="25"/>
      <c r="H42" s="15">
        <f t="shared" si="2"/>
        <v>0</v>
      </c>
    </row>
    <row r="43" spans="2:77">
      <c r="B43" s="104" t="s">
        <v>171</v>
      </c>
      <c r="C43" s="102" t="s">
        <v>177</v>
      </c>
      <c r="D43" s="2"/>
      <c r="E43" s="16"/>
      <c r="F43" s="21"/>
      <c r="G43" s="25"/>
      <c r="H43" s="15">
        <f t="shared" si="2"/>
        <v>0</v>
      </c>
    </row>
    <row r="44" spans="2:77">
      <c r="B44" s="103" t="s">
        <v>178</v>
      </c>
      <c r="C44" s="1" t="s">
        <v>179</v>
      </c>
      <c r="D44" s="12" t="s">
        <v>6</v>
      </c>
      <c r="E44" s="16"/>
      <c r="F44" s="21"/>
      <c r="G44" s="25"/>
      <c r="H44" s="15">
        <f t="shared" si="2"/>
        <v>0</v>
      </c>
    </row>
    <row r="45" spans="2:77">
      <c r="B45" s="103" t="s">
        <v>180</v>
      </c>
      <c r="C45" s="1" t="s">
        <v>181</v>
      </c>
      <c r="D45" s="12" t="s">
        <v>6</v>
      </c>
      <c r="E45" s="16"/>
      <c r="F45" s="21"/>
      <c r="G45" s="25"/>
      <c r="H45" s="15">
        <f t="shared" si="2"/>
        <v>0</v>
      </c>
    </row>
    <row r="46" spans="2:77">
      <c r="B46" s="103" t="s">
        <v>182</v>
      </c>
      <c r="C46" s="1" t="s">
        <v>199</v>
      </c>
      <c r="D46" s="12" t="s">
        <v>6</v>
      </c>
      <c r="E46" s="16"/>
      <c r="F46" s="21"/>
      <c r="G46" s="25"/>
      <c r="H46" s="15">
        <f t="shared" si="2"/>
        <v>0</v>
      </c>
    </row>
    <row r="47" spans="2:77">
      <c r="B47" s="103" t="s">
        <v>183</v>
      </c>
      <c r="C47" s="1" t="s">
        <v>200</v>
      </c>
      <c r="D47" s="12" t="s">
        <v>6</v>
      </c>
      <c r="E47" s="16"/>
      <c r="F47" s="21"/>
      <c r="G47" s="25"/>
      <c r="H47" s="15">
        <f t="shared" si="2"/>
        <v>0</v>
      </c>
    </row>
    <row r="48" spans="2:77">
      <c r="B48" s="104" t="s">
        <v>184</v>
      </c>
      <c r="C48" s="102" t="s">
        <v>185</v>
      </c>
      <c r="D48" s="2"/>
      <c r="E48" s="16"/>
      <c r="F48" s="21"/>
      <c r="G48" s="25"/>
      <c r="H48" s="15">
        <f t="shared" si="2"/>
        <v>0</v>
      </c>
    </row>
    <row r="49" spans="2:8">
      <c r="B49" s="109" t="s">
        <v>186</v>
      </c>
      <c r="C49" s="1" t="s">
        <v>187</v>
      </c>
      <c r="D49" s="12" t="s">
        <v>6</v>
      </c>
      <c r="E49" s="17"/>
      <c r="F49" s="22"/>
      <c r="G49" s="27"/>
      <c r="H49" s="15">
        <f t="shared" si="2"/>
        <v>0</v>
      </c>
    </row>
    <row r="50" spans="2:8">
      <c r="B50" s="103" t="s">
        <v>188</v>
      </c>
      <c r="C50" s="1" t="s">
        <v>189</v>
      </c>
      <c r="D50" s="12" t="s">
        <v>5</v>
      </c>
      <c r="E50" s="16"/>
      <c r="F50" s="21"/>
      <c r="G50" s="25"/>
      <c r="H50" s="15">
        <f t="shared" si="2"/>
        <v>0</v>
      </c>
    </row>
    <row r="51" spans="2:8">
      <c r="B51" s="109" t="s">
        <v>190</v>
      </c>
      <c r="C51" s="1" t="s">
        <v>191</v>
      </c>
      <c r="D51" s="12" t="s">
        <v>6</v>
      </c>
      <c r="E51" s="16"/>
      <c r="F51" s="21"/>
      <c r="G51" s="25"/>
      <c r="H51" s="15">
        <f t="shared" si="2"/>
        <v>0</v>
      </c>
    </row>
    <row r="52" spans="2:8">
      <c r="B52" s="103" t="s">
        <v>192</v>
      </c>
      <c r="C52" s="1" t="s">
        <v>193</v>
      </c>
      <c r="D52" s="12" t="s">
        <v>6</v>
      </c>
      <c r="E52" s="16"/>
      <c r="F52" s="21"/>
      <c r="G52" s="25"/>
      <c r="H52" s="15">
        <f t="shared" si="2"/>
        <v>0</v>
      </c>
    </row>
    <row r="53" spans="2:8">
      <c r="B53" s="110"/>
      <c r="C53" s="111"/>
      <c r="D53" s="4"/>
      <c r="E53" s="18"/>
      <c r="F53" s="23"/>
      <c r="G53" s="28"/>
      <c r="H53" s="15">
        <f t="shared" si="2"/>
        <v>0</v>
      </c>
    </row>
    <row r="55" spans="2:8">
      <c r="E55" s="112"/>
      <c r="F55" s="112"/>
      <c r="G55" s="113" t="s">
        <v>248</v>
      </c>
      <c r="H55" s="114" t="s">
        <v>246</v>
      </c>
    </row>
    <row r="56" spans="2:8" ht="21">
      <c r="B56" s="115" t="s">
        <v>201</v>
      </c>
      <c r="G56" s="116">
        <f>SUM(G10:G52)</f>
        <v>393524207.63</v>
      </c>
      <c r="H56" s="116">
        <f>SUM(H10:H53)</f>
        <v>393524207.63</v>
      </c>
    </row>
    <row r="57" spans="2:8">
      <c r="B57" s="71">
        <v>1</v>
      </c>
      <c r="C57" s="71" t="s">
        <v>204</v>
      </c>
    </row>
  </sheetData>
  <mergeCells count="5">
    <mergeCell ref="B8:D8"/>
    <mergeCell ref="E8:G8"/>
    <mergeCell ref="H7:BY7"/>
    <mergeCell ref="H8:BY8"/>
    <mergeCell ref="E7:G7"/>
  </mergeCells>
  <conditionalFormatting sqref="I13:BY13 I21:BY21 I39:BY39">
    <cfRule type="expression" dxfId="0" priority="6">
      <formula>AND(ISTEXT($E13),ISTEXT(I$4))</formula>
    </cfRule>
  </conditionalFormatting>
  <pageMargins left="0.75" right="0.75" top="1" bottom="1" header="0.5" footer="0.5"/>
  <pageSetup paperSize="9" scale="42" fitToWidth="0" orientation="landscape" horizontalDpi="2400" verticalDpi="24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E42"/>
  <sheetViews>
    <sheetView showGridLines="0" workbookViewId="0"/>
  </sheetViews>
  <sheetFormatPr baseColWidth="10" defaultColWidth="3.5" defaultRowHeight="24" customHeight="1"/>
  <cols>
    <col min="1" max="1" width="3.5" style="31"/>
    <col min="2" max="2" width="10.375" style="31" customWidth="1"/>
    <col min="3" max="3" width="8" style="31" customWidth="1"/>
    <col min="4" max="4" width="60.375" style="31" customWidth="1"/>
    <col min="5" max="5" width="2" style="34" customWidth="1"/>
    <col min="6" max="16384" width="3.5" style="31"/>
  </cols>
  <sheetData>
    <row r="1" spans="2:5" ht="15.95" customHeight="1">
      <c r="E1" s="31"/>
    </row>
    <row r="2" spans="2:5" ht="24.95" customHeight="1">
      <c r="B2" s="32" t="s">
        <v>253</v>
      </c>
      <c r="E2" s="31"/>
    </row>
    <row r="3" spans="2:5" ht="15.95" customHeight="1">
      <c r="B3" s="33" t="s">
        <v>109</v>
      </c>
      <c r="E3" s="31"/>
    </row>
    <row r="4" spans="2:5" ht="15.95" customHeight="1">
      <c r="B4" s="38" t="s">
        <v>256</v>
      </c>
      <c r="C4" s="38" t="s">
        <v>255</v>
      </c>
      <c r="D4" s="6" t="s">
        <v>257</v>
      </c>
      <c r="E4" s="31"/>
    </row>
    <row r="5" spans="2:5" ht="15.95" customHeight="1">
      <c r="B5" s="35">
        <v>42023</v>
      </c>
      <c r="C5" s="36" t="s">
        <v>259</v>
      </c>
      <c r="D5" s="39" t="s">
        <v>260</v>
      </c>
      <c r="E5" s="31"/>
    </row>
    <row r="6" spans="2:5" ht="15.95" customHeight="1" thickBot="1">
      <c r="B6" s="30">
        <v>41991</v>
      </c>
      <c r="C6" s="37" t="s">
        <v>254</v>
      </c>
      <c r="D6" s="43" t="s">
        <v>258</v>
      </c>
      <c r="E6" s="31"/>
    </row>
    <row r="7" spans="2:5" ht="15.95" customHeight="1" thickBot="1">
      <c r="B7" s="30">
        <v>42061</v>
      </c>
      <c r="C7" s="42" t="s">
        <v>282</v>
      </c>
      <c r="D7" s="44" t="s">
        <v>267</v>
      </c>
      <c r="E7" s="31"/>
    </row>
    <row r="8" spans="2:5" ht="15.95" customHeight="1">
      <c r="D8" s="45" t="s">
        <v>268</v>
      </c>
      <c r="E8" s="31"/>
    </row>
    <row r="9" spans="2:5" ht="15.95" customHeight="1">
      <c r="D9" s="31" t="s">
        <v>271</v>
      </c>
      <c r="E9" s="31"/>
    </row>
    <row r="10" spans="2:5" ht="15.95" customHeight="1">
      <c r="B10" s="30">
        <v>42068</v>
      </c>
      <c r="C10" s="42" t="s">
        <v>266</v>
      </c>
      <c r="D10" s="31" t="s">
        <v>283</v>
      </c>
      <c r="E10" s="31"/>
    </row>
    <row r="11" spans="2:5" ht="15.95" customHeight="1">
      <c r="E11" s="31"/>
    </row>
    <row r="12" spans="2:5" ht="15.95" customHeight="1">
      <c r="E12" s="31"/>
    </row>
    <row r="13" spans="2:5" ht="15.95" customHeight="1">
      <c r="E13" s="31"/>
    </row>
    <row r="14" spans="2:5" ht="15.95" customHeight="1">
      <c r="E14" s="31"/>
    </row>
    <row r="15" spans="2:5" ht="15.95" customHeight="1">
      <c r="E15" s="31"/>
    </row>
    <row r="16" spans="2:5" ht="15.95" customHeight="1">
      <c r="E16" s="31"/>
    </row>
    <row r="17" spans="5:5" ht="15.95" customHeight="1">
      <c r="E17" s="31"/>
    </row>
    <row r="18" spans="5:5" ht="15.95" customHeight="1">
      <c r="E18" s="31"/>
    </row>
    <row r="19" spans="5:5" ht="15.95" customHeight="1">
      <c r="E19" s="31"/>
    </row>
    <row r="20" spans="5:5" ht="15.95" customHeight="1">
      <c r="E20" s="31"/>
    </row>
    <row r="21" spans="5:5" ht="15.95" customHeight="1">
      <c r="E21" s="31"/>
    </row>
    <row r="22" spans="5:5" ht="15.95" customHeight="1">
      <c r="E22" s="31"/>
    </row>
    <row r="23" spans="5:5" ht="15.95" customHeight="1">
      <c r="E23" s="31"/>
    </row>
    <row r="24" spans="5:5" ht="15.95" customHeight="1">
      <c r="E24" s="31"/>
    </row>
    <row r="25" spans="5:5" ht="15.95" customHeight="1">
      <c r="E25" s="31"/>
    </row>
    <row r="26" spans="5:5" ht="15.95" customHeight="1">
      <c r="E26" s="31"/>
    </row>
    <row r="27" spans="5:5" ht="15.95" customHeight="1">
      <c r="E27" s="31"/>
    </row>
    <row r="28" spans="5:5" ht="15.95" customHeight="1">
      <c r="E28" s="31"/>
    </row>
    <row r="29" spans="5:5" ht="15.95" customHeight="1">
      <c r="E29" s="31"/>
    </row>
    <row r="30" spans="5:5" ht="15.95" customHeight="1">
      <c r="E30" s="31"/>
    </row>
    <row r="31" spans="5:5" ht="15.95" customHeight="1">
      <c r="E31" s="31"/>
    </row>
    <row r="32" spans="5:5" ht="15.95" customHeight="1">
      <c r="E32" s="31"/>
    </row>
    <row r="33" spans="5:5" ht="15.95" customHeight="1">
      <c r="E33" s="31"/>
    </row>
    <row r="34" spans="5:5" ht="15.95" customHeight="1"/>
    <row r="35" spans="5:5" ht="15.95" customHeight="1"/>
    <row r="36" spans="5:5" ht="15.95" customHeight="1">
      <c r="E36" s="31"/>
    </row>
    <row r="37" spans="5:5" ht="15.95" customHeight="1">
      <c r="E37" s="31"/>
    </row>
    <row r="38" spans="5:5" ht="15.95" customHeight="1">
      <c r="E38" s="31"/>
    </row>
    <row r="39" spans="5:5" ht="15.95" customHeight="1">
      <c r="E39" s="31"/>
    </row>
    <row r="40" spans="5:5" ht="15.95" customHeight="1">
      <c r="E40" s="31"/>
    </row>
    <row r="41" spans="5:5" ht="15.95" customHeight="1">
      <c r="E41" s="31"/>
    </row>
    <row r="42" spans="5:5" ht="15.95" customHeight="1"/>
  </sheetData>
  <pageMargins left="0.75" right="0.75" top="1" bottom="1" header="0.5" footer="0.5"/>
  <pageSetup paperSize="9"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FDACE739233BB499185E9201691D117" ma:contentTypeVersion="45" ma:contentTypeDescription="Create a new document." ma:contentTypeScope="" ma:versionID="20182d0dbdd215c1e09bd485ed6324dc">
  <xsd:schema xmlns:xsd="http://www.w3.org/2001/XMLSchema" xmlns:xs="http://www.w3.org/2001/XMLSchema" xmlns:p="http://schemas.microsoft.com/office/2006/metadata/properties" targetNamespace="http://schemas.microsoft.com/office/2006/metadata/properties" ma:root="true" ma:fieldsID="074b5a4020cc0417531245af4bd9469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F4399B-BF3C-4C33-BEA4-BA1EF66AB1C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6DD97B9-0E5D-4B8E-9C43-4F3313333A81}">
  <ds:schemaRefs>
    <ds:schemaRef ds:uri="http://schemas.microsoft.com/sharepoint/v3/contenttype/forms"/>
  </ds:schemaRefs>
</ds:datastoreItem>
</file>

<file path=customXml/itemProps3.xml><?xml version="1.0" encoding="utf-8"?>
<ds:datastoreItem xmlns:ds="http://schemas.openxmlformats.org/officeDocument/2006/customXml" ds:itemID="{6BCA3803-53F5-4CC2-9BE8-1A4BA61D1B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Introduction</vt:lpstr>
      <vt:lpstr>1. About</vt:lpstr>
      <vt:lpstr>2. Contextual</vt:lpstr>
      <vt:lpstr>3. Revenues</vt:lpstr>
      <vt:lpstr>Revenues - example Norway</vt:lpstr>
      <vt:lpstr>Changelog</vt:lpstr>
    </vt:vector>
  </TitlesOfParts>
  <Company>EITI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Tunold Kråkenes</dc:creator>
  <cp:lastModifiedBy>BDO</cp:lastModifiedBy>
  <cp:lastPrinted>2015-03-05T09:58:56Z</cp:lastPrinted>
  <dcterms:created xsi:type="dcterms:W3CDTF">2014-08-29T11:25:27Z</dcterms:created>
  <dcterms:modified xsi:type="dcterms:W3CDTF">2019-04-29T14:32:39Z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0x0101004FDACE739233BB499185E9201691D117</vt:lpwstr>
  </property>
</Properties>
</file>